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<sst xmlns="http://schemas.openxmlformats.org/spreadsheetml/2006/main" count="318" uniqueCount="153">
  <si>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</si>
  <si>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</si>
  <si>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</si>
  <si>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</si>
  <si>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</si>
  <si>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</si>
  <si>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</si>
  <si>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</si>
  <si>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</si>
  <si>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</si>
  <si>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</si>
  <si>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</si>
  <si>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</si>
  <si>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</si>
  <si>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</si>
  <si>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</si>
  <si>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</si>
  <si>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</si>
  <si>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</si>
  <si>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</si>
  <si>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</si>
  <si>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</si>
  <si>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</si>
  <si>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</si>
  <si>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</si>
  <si>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</si>
  <si>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</si>
  <si>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</si>
  <si>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</si>
  <si>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</si>
  <si>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</si>
  <si>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</si>
  <si>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</si>
  <si>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</si>
  <si>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</si>
  <si>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</si>
  <si>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</si>
  <si>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</si>
  <si>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</si>
  <si>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</si>
  <si>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</si>
  <si>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</si>
  <si>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</si>
  <si>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</si>
  <si>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</si>
  <si>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</si>
  <si>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</si>
  <si>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</si>
  <si>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</si>
  <si>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</si>
  <si>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</si>
  <si>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</si>
  <si>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</si>
  <si>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</si>
  <si>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</si>
  <si>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</si>
  <si>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</si>
  <si>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</si>
  <si>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</si>
  <si>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</si>
  <si>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</si>
  <si>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</si>
  <si>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</si>
  <si>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</si>
  <si>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</si>
  <si>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</si>
  <si>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14 группа: сады № 10, 17, 20, 26, 49, 64, 72, 73, 75, 92, 96, 105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</si>
  <si>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</si>
  <si>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</si>
  <si>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</si>
  <si>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</si>
  <si>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</si>
  <si>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</si>
  <si>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</si>
  <si>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</si>
  <si>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</si>
  <si>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</si>
  <si>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</si>
  <si>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</si>
  <si>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</si>
  <si>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Каша пшеничная вязкая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</si>
  <si>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</si>
  <si>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</si>
  <si>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</si>
  <si>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</si>
  <si>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</si>
  <si>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</si>
  <si>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</si>
  <si>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</si>
  <si>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</si>
  <si>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</si>
  <si>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</si>
  <si>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</si>
  <si>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</si>
  <si>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</si>
  <si>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</si>
  <si>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</si>
  <si>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</si>
  <si>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</si>
  <si>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</si>
  <si>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</si>
  <si>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>Батон  с сыром</t>
  </si>
  <si>
    <t>534/04</t>
  </si>
  <si>
    <t>50</t>
  </si>
  <si>
    <t>Каша молочная манная (жидкая) с маслом</t>
  </si>
  <si>
    <t>269./04</t>
  </si>
  <si>
    <t>Запеканка овощная с соусом сметанным</t>
  </si>
  <si>
    <t>ТТК-739</t>
  </si>
  <si>
    <t xml:space="preserve">Котлеты "Татарские" </t>
  </si>
  <si>
    <t>135/04</t>
  </si>
  <si>
    <t>ТТК-317</t>
  </si>
  <si>
    <t>ТТК-62</t>
  </si>
  <si>
    <t>Салат из отварной свеклы</t>
  </si>
  <si>
    <t>ТТК-315</t>
  </si>
  <si>
    <t>Компот "Фруктовый" из изюма</t>
  </si>
  <si>
    <t>Фатхуллина Г.А.</t>
  </si>
  <si>
    <t>Зам. директора по произ-ву</t>
  </si>
  <si>
    <t xml:space="preserve">Зам. начальника производственного отдела </t>
  </si>
  <si>
    <t xml:space="preserve">Ю.В. Прокофьева </t>
  </si>
  <si>
    <t>138/04</t>
  </si>
  <si>
    <t xml:space="preserve">Суп картоф. с рисовой крупой </t>
  </si>
  <si>
    <t>ТТК-734</t>
  </si>
  <si>
    <t xml:space="preserve">Биточки рыбные "Морячка" </t>
  </si>
  <si>
    <t>Суп молочный с пшеном</t>
  </si>
  <si>
    <t xml:space="preserve">Суп из овощей с мясн. фрикад. со сметаной </t>
  </si>
  <si>
    <t>200/25/ 10</t>
  </si>
  <si>
    <t>150/25/ 10</t>
  </si>
  <si>
    <t>Компот "Фруктовый" из кураги</t>
  </si>
  <si>
    <t>ТТК-53</t>
  </si>
  <si>
    <t xml:space="preserve">Мякоть птицы тушеная в соусе </t>
  </si>
  <si>
    <t>40/50</t>
  </si>
  <si>
    <t xml:space="preserve">НЕДЕЛЬНОЕ МЕНЮ ДЛЯ ОБЩЕРАЗВИВАЮЩИХ ДЕТСКИХ САДОВ С 05.03.18г по 07.03.18г    </t>
  </si>
  <si>
    <t>ПОНЕДЕЛЬНИК 05/03</t>
  </si>
  <si>
    <t>ВТОРНИК 06/03</t>
  </si>
  <si>
    <t>СРЕДА 07/03</t>
  </si>
  <si>
    <t>Молоко кипяченое с печеньем "Со вкусом топл. молока"</t>
  </si>
  <si>
    <t>180/18</t>
  </si>
  <si>
    <t>78./04</t>
  </si>
  <si>
    <t xml:space="preserve">Икра морковная </t>
  </si>
  <si>
    <t>ТТК-341</t>
  </si>
  <si>
    <t>Запеканка "Сладкоежка" с соусом молочным сладким</t>
  </si>
  <si>
    <t>150/50</t>
  </si>
  <si>
    <t>ТТК-54</t>
  </si>
  <si>
    <t>Салат "Бурячок" (без лука)</t>
  </si>
  <si>
    <t>56</t>
  </si>
  <si>
    <t>42</t>
  </si>
  <si>
    <t>142./04</t>
  </si>
  <si>
    <t xml:space="preserve">Суп картофельный с рыбными фрикадельками </t>
  </si>
  <si>
    <t>165</t>
  </si>
  <si>
    <t>140</t>
  </si>
  <si>
    <t>152</t>
  </si>
  <si>
    <t>135</t>
  </si>
  <si>
    <t>Н.В. Журавлева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</si>
</sst>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2" applyNumberFormat="1" applyFont="1" applyBorder="1" applyAlignment="1">
      <alignment horizontal="center" vertical="center"/>
      <protection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2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2" fontId="2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/>
    </xf>
    <xf numFmtId="2" fontId="25" fillId="26" borderId="16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49" fontId="20" fillId="27" borderId="16" xfId="0" applyNumberFormat="1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 vertical="distributed"/>
    </xf>
    <xf numFmtId="49" fontId="20" fillId="27" borderId="10" xfId="0" applyNumberFormat="1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2" fontId="25" fillId="26" borderId="10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113</xdr:row>
      <xdr:rowOff>47625</xdr:rowOff>
    </xdr:from>
    <xdr:to>
      <xdr:col>8</xdr:col>
      <xdr:colOff>85725</xdr:colOff>
      <xdr:row>121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309812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117</xdr:row>
      <xdr:rowOff>0</xdr:rowOff>
    </xdr:from>
    <xdr:to>
      <xdr:col>6</xdr:col>
      <xdr:colOff>419100</xdr:colOff>
      <xdr:row>118</xdr:row>
      <xdr:rowOff>161925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t="45860" b="30572"/>
        <a:stretch>
          <a:fillRect/>
        </a:stretch>
      </xdr:blipFill>
      <xdr:spPr>
        <a:xfrm>
          <a:off x="3981450" y="23812500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3</xdr:row>
      <xdr:rowOff>28575</xdr:rowOff>
    </xdr:from>
    <xdr:to>
      <xdr:col>13</xdr:col>
      <xdr:colOff>495300</xdr:colOff>
      <xdr:row>4</xdr:row>
      <xdr:rowOff>85725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6000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9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9" s="66" customFormat="1" ht="15" customHeight="1">
      <c r="A1" s="1"/>
      <c r="B1" s="2"/>
      <c r="C1" s="2"/>
      <c r="D1" s="2"/>
      <c r="E1" s="3"/>
      <c r="F1" s="3"/>
      <c r="G1" s="2"/>
      <c r="H1" s="4"/>
      <c r="I1" s="6"/>
      <c r="J1" s="6"/>
      <c r="K1" s="6"/>
      <c r="L1" s="7"/>
      <c r="M1" s="7" t="s">
        <v>69</v>
      </c>
      <c r="N1" s="7"/>
      <c r="O1" s="68"/>
      <c r="P1" s="4"/>
      <c r="Q1"/>
      <c r="R1" s="7"/>
      <c r="S1" s="7"/>
      <c r="T1" s="7"/>
      <c r="U1" s="68"/>
      <c r="V1" s="4"/>
      <c r="W1" s="7"/>
      <c r="X1" s="69"/>
      <c r="Y1" s="69"/>
      <c r="Z1" s="69"/>
      <c r="AA1" s="69"/>
      <c r="AB1" s="69"/>
      <c r="AC1" s="69"/>
    </row>
    <row r="2" spans="1:29" s="66" customFormat="1" ht="15" customHeight="1">
      <c r="A2" s="5" t="s">
        <v>65</v>
      </c>
      <c r="B2" s="2"/>
      <c r="C2" s="2"/>
      <c r="D2" s="2"/>
      <c r="E2" s="3"/>
      <c r="F2" s="3"/>
      <c r="G2" s="2"/>
      <c r="H2" s="7"/>
      <c r="I2" s="7"/>
      <c r="J2" s="68"/>
      <c r="K2" s="4"/>
      <c r="L2" s="7"/>
      <c r="M2" s="7" t="s">
        <v>70</v>
      </c>
      <c r="N2" s="7"/>
      <c r="O2" s="68"/>
      <c r="P2" s="7"/>
      <c r="Q2"/>
      <c r="R2" s="7"/>
      <c r="S2" s="7"/>
      <c r="T2" s="7"/>
      <c r="U2" s="68"/>
      <c r="V2" s="7"/>
      <c r="W2" s="7"/>
      <c r="X2" s="69"/>
      <c r="Y2" s="69"/>
      <c r="Z2" s="69"/>
      <c r="AA2" s="69"/>
      <c r="AB2" s="69"/>
      <c r="AC2" s="69"/>
    </row>
    <row r="3" spans="1:29" s="66" customFormat="1" ht="15" customHeight="1">
      <c r="A3" s="5" t="s">
        <v>73</v>
      </c>
      <c r="B3" s="2"/>
      <c r="C3" s="2"/>
      <c r="D3" s="2"/>
      <c r="E3" s="3"/>
      <c r="F3" s="3"/>
      <c r="G3" s="2"/>
      <c r="H3" s="7"/>
      <c r="I3" s="7"/>
      <c r="J3" s="68"/>
      <c r="K3" s="7"/>
      <c r="L3" s="7"/>
      <c r="M3" s="10" t="s">
        <v>71</v>
      </c>
      <c r="N3" s="7"/>
      <c r="O3" s="68"/>
      <c r="P3" s="4"/>
      <c r="Q3"/>
      <c r="R3" s="10"/>
      <c r="S3" s="7"/>
      <c r="T3" s="7"/>
      <c r="U3" s="68"/>
      <c r="V3" s="4"/>
      <c r="W3" s="7"/>
      <c r="X3" s="69"/>
      <c r="Y3" s="69"/>
      <c r="Z3" s="69"/>
      <c r="AA3" s="69"/>
      <c r="AB3" s="69"/>
      <c r="AC3" s="69"/>
    </row>
    <row r="4" spans="1:29" s="66" customFormat="1" ht="15" customHeight="1">
      <c r="A4" s="5" t="s">
        <v>66</v>
      </c>
      <c r="B4" s="2"/>
      <c r="C4" s="2"/>
      <c r="D4" s="2"/>
      <c r="E4" s="3"/>
      <c r="F4" s="3"/>
      <c r="G4" s="2"/>
      <c r="H4" s="10"/>
      <c r="I4" s="7"/>
      <c r="J4" s="68"/>
      <c r="K4" s="4"/>
      <c r="L4" s="7"/>
      <c r="M4" s="132"/>
      <c r="N4" s="132"/>
      <c r="O4" s="7"/>
      <c r="P4" s="7"/>
      <c r="Q4"/>
      <c r="R4" s="7"/>
      <c r="S4" s="7" t="s">
        <v>115</v>
      </c>
      <c r="T4" s="7"/>
      <c r="U4" s="68"/>
      <c r="V4" s="4"/>
      <c r="W4" s="7"/>
      <c r="X4" s="69"/>
      <c r="Y4" s="69"/>
      <c r="Z4" s="69"/>
      <c r="AA4" s="69"/>
      <c r="AB4" s="69"/>
      <c r="AC4" s="69"/>
    </row>
    <row r="5" spans="1:22" s="66" customFormat="1" ht="15" customHeight="1">
      <c r="A5" s="5" t="s">
        <v>74</v>
      </c>
      <c r="B5" s="2"/>
      <c r="C5" s="2"/>
      <c r="D5" s="2"/>
      <c r="E5" s="3"/>
      <c r="F5" s="3"/>
      <c r="G5" s="2"/>
      <c r="H5" s="7"/>
      <c r="I5" s="7"/>
      <c r="J5" s="7"/>
      <c r="K5" s="7"/>
      <c r="L5" s="7"/>
      <c r="M5" s="45"/>
      <c r="N5" s="45"/>
      <c r="O5" s="69"/>
      <c r="P5" s="69"/>
      <c r="Q5" s="69"/>
      <c r="R5" s="69"/>
      <c r="S5" s="69"/>
      <c r="T5" s="69"/>
      <c r="U5" s="7"/>
      <c r="V5" s="7"/>
    </row>
    <row r="6" spans="1:20" s="66" customFormat="1" ht="15" customHeight="1">
      <c r="A6" s="5" t="s">
        <v>75</v>
      </c>
      <c r="B6" s="2"/>
      <c r="C6" s="2"/>
      <c r="D6" s="2"/>
      <c r="E6" s="3"/>
      <c r="F6" s="3"/>
      <c r="G6" s="2"/>
      <c r="H6" s="8"/>
      <c r="I6" s="9"/>
      <c r="J6" s="2"/>
      <c r="K6" s="2"/>
      <c r="L6" s="2"/>
      <c r="M6" s="45"/>
      <c r="N6" s="69"/>
      <c r="O6" s="69"/>
      <c r="P6" s="69"/>
      <c r="Q6" s="69"/>
      <c r="R6" s="69"/>
      <c r="S6" s="69"/>
      <c r="T6" s="69"/>
    </row>
    <row r="7" spans="1:17" s="66" customFormat="1" ht="15" customHeight="1">
      <c r="A7" s="1"/>
      <c r="B7" s="2"/>
      <c r="C7" s="2"/>
      <c r="D7" s="2"/>
      <c r="E7" s="3"/>
      <c r="F7" s="3"/>
      <c r="G7" s="2"/>
      <c r="H7" s="84"/>
      <c r="I7" s="84"/>
      <c r="J7" s="84"/>
      <c r="K7" s="84"/>
      <c r="L7" s="84"/>
      <c r="M7" s="84" t="s">
        <v>0</v>
      </c>
      <c r="N7" s="84"/>
      <c r="Q7" s="84"/>
    </row>
    <row r="8" spans="1:24" s="66" customFormat="1" ht="15" customHeight="1">
      <c r="A8" s="138" t="s">
        <v>131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1:14" s="66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6" customFormat="1" ht="24.75" customHeight="1">
      <c r="A10" s="139" t="s">
        <v>1</v>
      </c>
      <c r="B10" s="140" t="s">
        <v>2</v>
      </c>
      <c r="C10" s="141" t="s">
        <v>3</v>
      </c>
      <c r="D10" s="141"/>
      <c r="E10" s="142" t="s">
        <v>4</v>
      </c>
      <c r="F10" s="142"/>
      <c r="G10" s="142" t="s">
        <v>5</v>
      </c>
      <c r="H10" s="142"/>
      <c r="I10" s="142"/>
      <c r="J10" s="142"/>
      <c r="K10" s="142"/>
      <c r="L10" s="142"/>
      <c r="M10" s="141" t="s">
        <v>6</v>
      </c>
      <c r="N10" s="141"/>
      <c r="O10" s="139" t="s">
        <v>7</v>
      </c>
      <c r="P10" s="139"/>
      <c r="Q10" s="139"/>
      <c r="R10" s="139"/>
      <c r="S10" s="139"/>
      <c r="T10" s="139"/>
      <c r="U10" s="133" t="s">
        <v>8</v>
      </c>
      <c r="V10" s="133"/>
      <c r="W10" s="133"/>
      <c r="X10" s="134"/>
      <c r="Y10" s="65"/>
      <c r="Z10" s="65"/>
      <c r="AA10" s="65"/>
      <c r="AB10" s="65"/>
      <c r="AC10" s="65"/>
      <c r="AD10" s="65"/>
      <c r="AE10" s="65"/>
      <c r="AF10" s="65"/>
    </row>
    <row r="11" spans="1:32" s="66" customFormat="1" ht="15" customHeight="1">
      <c r="A11" s="139"/>
      <c r="B11" s="140"/>
      <c r="C11" s="141"/>
      <c r="D11" s="141"/>
      <c r="E11" s="142"/>
      <c r="F11" s="142"/>
      <c r="G11" s="135" t="s">
        <v>9</v>
      </c>
      <c r="H11" s="135"/>
      <c r="I11" s="135" t="s">
        <v>10</v>
      </c>
      <c r="J11" s="135"/>
      <c r="K11" s="135" t="s">
        <v>11</v>
      </c>
      <c r="L11" s="135"/>
      <c r="M11" s="141"/>
      <c r="N11" s="141"/>
      <c r="O11" s="136" t="s">
        <v>68</v>
      </c>
      <c r="P11" s="136"/>
      <c r="Q11" s="136" t="s">
        <v>54</v>
      </c>
      <c r="R11" s="136"/>
      <c r="S11" s="136" t="s">
        <v>12</v>
      </c>
      <c r="T11" s="136"/>
      <c r="U11" s="136" t="s">
        <v>13</v>
      </c>
      <c r="V11" s="136"/>
      <c r="W11" s="136" t="s">
        <v>14</v>
      </c>
      <c r="X11" s="137"/>
      <c r="Y11" s="65"/>
      <c r="Z11" s="94"/>
      <c r="AA11" s="94"/>
      <c r="AB11" s="94"/>
      <c r="AC11" s="65"/>
      <c r="AD11" s="65"/>
      <c r="AE11" s="65"/>
      <c r="AF11" s="65"/>
    </row>
    <row r="12" spans="1:32" s="66" customFormat="1" ht="15" customHeight="1">
      <c r="A12" s="11" t="s">
        <v>1</v>
      </c>
      <c r="B12" s="85" t="s">
        <v>132</v>
      </c>
      <c r="C12" s="39" t="s">
        <v>15</v>
      </c>
      <c r="D12" s="39" t="s">
        <v>16</v>
      </c>
      <c r="E12" s="39" t="s">
        <v>15</v>
      </c>
      <c r="F12" s="39" t="s">
        <v>16</v>
      </c>
      <c r="G12" s="39" t="s">
        <v>15</v>
      </c>
      <c r="H12" s="39" t="s">
        <v>16</v>
      </c>
      <c r="I12" s="39" t="s">
        <v>15</v>
      </c>
      <c r="J12" s="39" t="s">
        <v>16</v>
      </c>
      <c r="K12" s="39" t="s">
        <v>15</v>
      </c>
      <c r="L12" s="39" t="s">
        <v>16</v>
      </c>
      <c r="M12" s="39" t="s">
        <v>15</v>
      </c>
      <c r="N12" s="39" t="s">
        <v>16</v>
      </c>
      <c r="O12" s="39" t="s">
        <v>15</v>
      </c>
      <c r="P12" s="39" t="s">
        <v>16</v>
      </c>
      <c r="Q12" s="39" t="s">
        <v>15</v>
      </c>
      <c r="R12" s="39" t="s">
        <v>16</v>
      </c>
      <c r="S12" s="39" t="s">
        <v>15</v>
      </c>
      <c r="T12" s="39" t="s">
        <v>16</v>
      </c>
      <c r="U12" s="39" t="s">
        <v>15</v>
      </c>
      <c r="V12" s="39" t="s">
        <v>16</v>
      </c>
      <c r="W12" s="39" t="s">
        <v>15</v>
      </c>
      <c r="X12" s="86" t="s">
        <v>16</v>
      </c>
      <c r="Y12" s="65"/>
      <c r="Z12" s="94"/>
      <c r="AA12" s="94"/>
      <c r="AB12" s="94"/>
      <c r="AC12" s="65"/>
      <c r="AD12" s="65"/>
      <c r="AE12" s="65"/>
      <c r="AF12" s="65"/>
    </row>
    <row r="13" spans="1:32" ht="15" customHeight="1">
      <c r="A13" s="11"/>
      <c r="B13" s="87" t="s">
        <v>17</v>
      </c>
      <c r="C13" s="88"/>
      <c r="D13" s="8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4"/>
      <c r="Q13" s="14"/>
      <c r="R13" s="14"/>
      <c r="S13" s="14"/>
      <c r="T13" s="14"/>
      <c r="U13" s="14"/>
      <c r="V13" s="14"/>
      <c r="W13" s="14"/>
      <c r="X13" s="73"/>
      <c r="Y13" s="21"/>
      <c r="Z13" s="36"/>
      <c r="AA13" s="36"/>
      <c r="AB13" s="36"/>
      <c r="AC13" s="21"/>
      <c r="AD13" s="21"/>
      <c r="AE13" s="21"/>
      <c r="AF13" s="21"/>
    </row>
    <row r="14" spans="1:30" s="30" customFormat="1" ht="15" customHeight="1">
      <c r="A14" s="118" t="s">
        <v>38</v>
      </c>
      <c r="B14" s="57" t="s">
        <v>39</v>
      </c>
      <c r="C14" s="58" t="s">
        <v>86</v>
      </c>
      <c r="D14" s="58" t="s">
        <v>86</v>
      </c>
      <c r="E14" s="59">
        <v>4.03</v>
      </c>
      <c r="F14" s="59">
        <v>4.03</v>
      </c>
      <c r="G14" s="59">
        <v>1.63</v>
      </c>
      <c r="H14" s="60">
        <v>1.63</v>
      </c>
      <c r="I14" s="60">
        <v>4.7</v>
      </c>
      <c r="J14" s="60">
        <v>4.7</v>
      </c>
      <c r="K14" s="60">
        <v>10.4</v>
      </c>
      <c r="L14" s="60">
        <v>10.4</v>
      </c>
      <c r="M14" s="60">
        <v>90.42</v>
      </c>
      <c r="N14" s="60">
        <v>90.42</v>
      </c>
      <c r="O14" s="61">
        <v>0.08</v>
      </c>
      <c r="P14" s="67">
        <v>0.05</v>
      </c>
      <c r="Q14" s="61">
        <v>0.04</v>
      </c>
      <c r="R14" s="67">
        <v>0.02</v>
      </c>
      <c r="S14" s="61">
        <v>0</v>
      </c>
      <c r="T14" s="60">
        <f>S14*25/45</f>
        <v>0</v>
      </c>
      <c r="U14" s="63">
        <v>13.6</v>
      </c>
      <c r="V14" s="64">
        <v>8.6</v>
      </c>
      <c r="W14" s="63">
        <v>0.81</v>
      </c>
      <c r="X14" s="64">
        <v>0.49</v>
      </c>
      <c r="Y14" s="29"/>
      <c r="Z14" s="29"/>
      <c r="AA14" s="29"/>
      <c r="AB14" s="29"/>
      <c r="AC14" s="29"/>
      <c r="AD14" s="29"/>
    </row>
    <row r="15" spans="1:29" ht="15" customHeight="1">
      <c r="A15" s="118" t="s">
        <v>18</v>
      </c>
      <c r="B15" s="57" t="s">
        <v>80</v>
      </c>
      <c r="C15" s="58" t="s">
        <v>21</v>
      </c>
      <c r="D15" s="58" t="s">
        <v>22</v>
      </c>
      <c r="E15" s="59">
        <v>4.4</v>
      </c>
      <c r="F15" s="59">
        <v>3.3</v>
      </c>
      <c r="G15" s="59">
        <v>5.26</v>
      </c>
      <c r="H15" s="59">
        <v>3.95</v>
      </c>
      <c r="I15" s="59">
        <v>5.26</v>
      </c>
      <c r="J15" s="60">
        <v>3.95</v>
      </c>
      <c r="K15" s="59">
        <v>32.32</v>
      </c>
      <c r="L15" s="60">
        <v>24.24</v>
      </c>
      <c r="M15" s="59">
        <v>197.6</v>
      </c>
      <c r="N15" s="60">
        <v>148.3</v>
      </c>
      <c r="O15" s="59">
        <f>P15*200/150</f>
        <v>0.12</v>
      </c>
      <c r="P15" s="61">
        <v>0.09</v>
      </c>
      <c r="Q15" s="59">
        <f>R15*200/150</f>
        <v>0.04</v>
      </c>
      <c r="R15" s="61">
        <v>0.03</v>
      </c>
      <c r="S15" s="61">
        <v>0</v>
      </c>
      <c r="T15" s="61">
        <v>0</v>
      </c>
      <c r="U15" s="59">
        <f>V15*200/150</f>
        <v>1.5466666666666664</v>
      </c>
      <c r="V15" s="61">
        <v>1.16</v>
      </c>
      <c r="W15" s="59">
        <f>X15*200/150</f>
        <v>0.72</v>
      </c>
      <c r="X15" s="102">
        <v>0.54</v>
      </c>
      <c r="Y15" s="80"/>
      <c r="Z15" s="21"/>
      <c r="AA15" s="21"/>
      <c r="AB15" s="21"/>
      <c r="AC15" s="21"/>
    </row>
    <row r="16" spans="1:31" ht="15" customHeight="1">
      <c r="A16" s="118" t="s">
        <v>19</v>
      </c>
      <c r="B16" s="57" t="s">
        <v>20</v>
      </c>
      <c r="C16" s="58" t="s">
        <v>21</v>
      </c>
      <c r="D16" s="58" t="s">
        <v>22</v>
      </c>
      <c r="E16" s="59">
        <v>1.58</v>
      </c>
      <c r="F16" s="59">
        <v>1.18</v>
      </c>
      <c r="G16" s="61">
        <v>0</v>
      </c>
      <c r="H16" s="67">
        <v>0</v>
      </c>
      <c r="I16" s="61">
        <v>0</v>
      </c>
      <c r="J16" s="67">
        <f>I16*150/200</f>
        <v>0</v>
      </c>
      <c r="K16" s="61">
        <v>30.6</v>
      </c>
      <c r="L16" s="67">
        <f>K16*150/200</f>
        <v>22.95</v>
      </c>
      <c r="M16" s="61">
        <v>118</v>
      </c>
      <c r="N16" s="67">
        <v>88.5</v>
      </c>
      <c r="O16" s="63">
        <v>0</v>
      </c>
      <c r="P16" s="67">
        <f>O16*150/200</f>
        <v>0</v>
      </c>
      <c r="Q16" s="63">
        <v>0</v>
      </c>
      <c r="R16" s="67">
        <f>Q16*150/200</f>
        <v>0</v>
      </c>
      <c r="S16" s="63">
        <v>0</v>
      </c>
      <c r="T16" s="67">
        <f>S16*150/200</f>
        <v>0</v>
      </c>
      <c r="U16" s="63">
        <v>0.2</v>
      </c>
      <c r="V16" s="67">
        <f>U16*150/200</f>
        <v>0.15</v>
      </c>
      <c r="W16" s="63">
        <v>0.03</v>
      </c>
      <c r="X16" s="67">
        <f>W16*150/200</f>
        <v>0.0225</v>
      </c>
      <c r="Y16" s="21"/>
      <c r="Z16" s="21"/>
      <c r="AA16" s="21"/>
      <c r="AB16" s="21"/>
      <c r="AC16" s="21"/>
      <c r="AD16" s="21"/>
      <c r="AE16" s="21"/>
    </row>
    <row r="17" spans="1:32" ht="15" customHeight="1">
      <c r="A17" s="15"/>
      <c r="B17" s="16" t="s">
        <v>23</v>
      </c>
      <c r="C17" s="17"/>
      <c r="D17" s="17"/>
      <c r="E17" s="27">
        <f>SUM(E14:E16)</f>
        <v>10.01</v>
      </c>
      <c r="F17" s="27">
        <f>SUM(F14:F16)</f>
        <v>8.51</v>
      </c>
      <c r="G17" s="27">
        <f aca="true" t="shared" si="0" ref="G17:T17">SUM(G14:G16)</f>
        <v>6.89</v>
      </c>
      <c r="H17" s="27">
        <f t="shared" si="0"/>
        <v>5.58</v>
      </c>
      <c r="I17" s="27">
        <f t="shared" si="0"/>
        <v>9.96</v>
      </c>
      <c r="J17" s="27">
        <f t="shared" si="0"/>
        <v>8.65</v>
      </c>
      <c r="K17" s="27">
        <f t="shared" si="0"/>
        <v>73.32</v>
      </c>
      <c r="L17" s="27">
        <f t="shared" si="0"/>
        <v>57.59</v>
      </c>
      <c r="M17" s="27">
        <f t="shared" si="0"/>
        <v>406.02</v>
      </c>
      <c r="N17" s="27">
        <f t="shared" si="0"/>
        <v>327.22</v>
      </c>
      <c r="O17" s="27">
        <f t="shared" si="0"/>
        <v>0.2</v>
      </c>
      <c r="P17" s="27">
        <f t="shared" si="0"/>
        <v>0.14</v>
      </c>
      <c r="Q17" s="27">
        <f t="shared" si="0"/>
        <v>0.08</v>
      </c>
      <c r="R17" s="27">
        <f t="shared" si="0"/>
        <v>0.05</v>
      </c>
      <c r="S17" s="27">
        <f t="shared" si="0"/>
        <v>0</v>
      </c>
      <c r="T17" s="27">
        <f t="shared" si="0"/>
        <v>0</v>
      </c>
      <c r="U17" s="27">
        <f>SUM(U14:U16)</f>
        <v>15.346666666666666</v>
      </c>
      <c r="V17" s="27">
        <f>SUM(V14:V16)</f>
        <v>9.91</v>
      </c>
      <c r="W17" s="27">
        <f>SUM(W14:W16)</f>
        <v>1.56</v>
      </c>
      <c r="X17" s="75">
        <f>SUM(X14:X16)</f>
        <v>1.0525</v>
      </c>
      <c r="Y17" s="72"/>
      <c r="Z17" s="72"/>
      <c r="AA17" s="72"/>
      <c r="AB17" s="72"/>
      <c r="AC17" s="72"/>
      <c r="AD17" s="72"/>
      <c r="AE17" s="72"/>
      <c r="AF17" s="21"/>
    </row>
    <row r="18" spans="1:32" ht="15" customHeight="1">
      <c r="A18" s="15"/>
      <c r="B18" s="87" t="s">
        <v>24</v>
      </c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28"/>
      <c r="P18" s="28"/>
      <c r="Q18" s="28"/>
      <c r="R18" s="28"/>
      <c r="S18" s="28"/>
      <c r="T18" s="28"/>
      <c r="U18" s="28"/>
      <c r="V18" s="28"/>
      <c r="W18" s="28"/>
      <c r="X18" s="76"/>
      <c r="Y18" s="21"/>
      <c r="Z18" s="36"/>
      <c r="AA18" s="36"/>
      <c r="AB18" s="36"/>
      <c r="AC18" s="21"/>
      <c r="AD18" s="21"/>
      <c r="AE18" s="21"/>
      <c r="AF18" s="21"/>
    </row>
    <row r="19" spans="1:31" s="31" customFormat="1" ht="15" customHeight="1">
      <c r="A19" s="119" t="s">
        <v>25</v>
      </c>
      <c r="B19" s="16" t="s">
        <v>60</v>
      </c>
      <c r="C19" s="17" t="s">
        <v>22</v>
      </c>
      <c r="D19" s="17" t="s">
        <v>22</v>
      </c>
      <c r="E19" s="18">
        <v>4.05</v>
      </c>
      <c r="F19" s="18">
        <v>4.05</v>
      </c>
      <c r="G19" s="24">
        <v>0</v>
      </c>
      <c r="H19" s="25">
        <v>0</v>
      </c>
      <c r="I19" s="24">
        <f>J19*180/150</f>
        <v>0</v>
      </c>
      <c r="J19" s="25">
        <v>0</v>
      </c>
      <c r="K19" s="24">
        <v>9</v>
      </c>
      <c r="L19" s="25">
        <v>9</v>
      </c>
      <c r="M19" s="24">
        <v>36</v>
      </c>
      <c r="N19" s="25">
        <v>36</v>
      </c>
      <c r="O19" s="24">
        <f>P19*180/150</f>
        <v>0</v>
      </c>
      <c r="P19" s="25">
        <v>0</v>
      </c>
      <c r="Q19" s="24">
        <f>R19*180/150</f>
        <v>0.024</v>
      </c>
      <c r="R19" s="25">
        <v>0.02</v>
      </c>
      <c r="S19" s="24">
        <v>3</v>
      </c>
      <c r="T19" s="25">
        <v>3</v>
      </c>
      <c r="U19" s="24">
        <f>V19*180/150</f>
        <v>9.996</v>
      </c>
      <c r="V19" s="25">
        <v>8.33</v>
      </c>
      <c r="W19" s="24">
        <f>X19*180/150</f>
        <v>0.252</v>
      </c>
      <c r="X19" s="78">
        <v>0.21</v>
      </c>
      <c r="Y19" s="36"/>
      <c r="Z19" s="36"/>
      <c r="AA19" s="36"/>
      <c r="AB19" s="36"/>
      <c r="AC19" s="36"/>
      <c r="AD19" s="36"/>
      <c r="AE19" s="36"/>
    </row>
    <row r="20" spans="1:32" ht="15" customHeight="1">
      <c r="A20" s="15"/>
      <c r="B20" s="16" t="s">
        <v>23</v>
      </c>
      <c r="C20" s="17"/>
      <c r="D20" s="17"/>
      <c r="E20" s="27">
        <f>SUM(E19)</f>
        <v>4.05</v>
      </c>
      <c r="F20" s="27">
        <f>SUM(F19)</f>
        <v>4.05</v>
      </c>
      <c r="G20" s="27">
        <f aca="true" t="shared" si="1" ref="G20:T20">SUM(G19)</f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9</v>
      </c>
      <c r="L20" s="27">
        <f t="shared" si="1"/>
        <v>9</v>
      </c>
      <c r="M20" s="27">
        <f t="shared" si="1"/>
        <v>36</v>
      </c>
      <c r="N20" s="27">
        <f t="shared" si="1"/>
        <v>36</v>
      </c>
      <c r="O20" s="27">
        <f t="shared" si="1"/>
        <v>0</v>
      </c>
      <c r="P20" s="27">
        <f t="shared" si="1"/>
        <v>0</v>
      </c>
      <c r="Q20" s="27">
        <f t="shared" si="1"/>
        <v>0.024</v>
      </c>
      <c r="R20" s="27">
        <f t="shared" si="1"/>
        <v>0.02</v>
      </c>
      <c r="S20" s="27">
        <f t="shared" si="1"/>
        <v>3</v>
      </c>
      <c r="T20" s="27">
        <f t="shared" si="1"/>
        <v>3</v>
      </c>
      <c r="U20" s="27">
        <f aca="true" t="shared" si="2" ref="U20:AB20">SUM(U19)</f>
        <v>9.996</v>
      </c>
      <c r="V20" s="27">
        <f t="shared" si="2"/>
        <v>8.33</v>
      </c>
      <c r="W20" s="27">
        <f t="shared" si="2"/>
        <v>0.252</v>
      </c>
      <c r="X20" s="27">
        <f t="shared" si="2"/>
        <v>0.21</v>
      </c>
      <c r="Y20" s="27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72"/>
      <c r="AD20" s="21"/>
      <c r="AE20" s="21"/>
      <c r="AF20" s="21"/>
    </row>
    <row r="21" spans="1:32" ht="15" customHeight="1">
      <c r="A21" s="15"/>
      <c r="B21" s="87" t="s">
        <v>27</v>
      </c>
      <c r="C21" s="17"/>
      <c r="D21" s="17"/>
      <c r="E21" s="18"/>
      <c r="F21" s="18"/>
      <c r="G21" s="18"/>
      <c r="H21" s="19"/>
      <c r="I21" s="19"/>
      <c r="J21" s="19"/>
      <c r="K21" s="19"/>
      <c r="L21" s="19"/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76"/>
      <c r="Y21" s="21"/>
      <c r="Z21" s="36"/>
      <c r="AA21" s="36"/>
      <c r="AB21" s="36"/>
      <c r="AC21" s="21"/>
      <c r="AD21" s="21"/>
      <c r="AE21" s="21"/>
      <c r="AF21" s="21"/>
    </row>
    <row r="22" spans="1:24" ht="15.75" customHeight="1">
      <c r="A22" s="123" t="s">
        <v>111</v>
      </c>
      <c r="B22" s="57" t="s">
        <v>112</v>
      </c>
      <c r="C22" s="58" t="s">
        <v>28</v>
      </c>
      <c r="D22" s="58" t="s">
        <v>103</v>
      </c>
      <c r="E22" s="59">
        <v>1.34</v>
      </c>
      <c r="F22" s="59">
        <v>1.12</v>
      </c>
      <c r="G22" s="114">
        <f>H22*60/50</f>
        <v>0.6</v>
      </c>
      <c r="H22" s="115">
        <v>0.5</v>
      </c>
      <c r="I22" s="114">
        <f>J22*60/50</f>
        <v>3.6</v>
      </c>
      <c r="J22" s="115">
        <v>3</v>
      </c>
      <c r="K22" s="114">
        <f>L22*60/50</f>
        <v>4.8</v>
      </c>
      <c r="L22" s="115">
        <v>4</v>
      </c>
      <c r="M22" s="114">
        <f>N22*60/50</f>
        <v>54</v>
      </c>
      <c r="N22" s="115">
        <v>45</v>
      </c>
      <c r="O22" s="114">
        <v>0.01</v>
      </c>
      <c r="P22" s="115">
        <v>0</v>
      </c>
      <c r="Q22" s="114">
        <v>0.02</v>
      </c>
      <c r="R22" s="115">
        <v>0</v>
      </c>
      <c r="S22" s="114">
        <f>T22*60/50</f>
        <v>5.7</v>
      </c>
      <c r="T22" s="115">
        <v>4.75</v>
      </c>
      <c r="U22" s="114">
        <v>20.69</v>
      </c>
      <c r="V22" s="115">
        <v>0</v>
      </c>
      <c r="W22" s="114">
        <v>0.78</v>
      </c>
      <c r="X22" s="115">
        <v>0</v>
      </c>
    </row>
    <row r="23" spans="1:31" ht="18" customHeight="1">
      <c r="A23" s="118" t="s">
        <v>119</v>
      </c>
      <c r="B23" s="62" t="s">
        <v>120</v>
      </c>
      <c r="C23" s="58" t="s">
        <v>21</v>
      </c>
      <c r="D23" s="58" t="s">
        <v>22</v>
      </c>
      <c r="E23" s="59">
        <v>3.52</v>
      </c>
      <c r="F23" s="59">
        <v>2.64</v>
      </c>
      <c r="G23" s="61">
        <v>2</v>
      </c>
      <c r="H23" s="61">
        <v>1.5</v>
      </c>
      <c r="I23" s="61">
        <v>2.2</v>
      </c>
      <c r="J23" s="61">
        <v>1.65</v>
      </c>
      <c r="K23" s="61">
        <v>13.6</v>
      </c>
      <c r="L23" s="61">
        <v>10.2</v>
      </c>
      <c r="M23" s="61">
        <v>82.2</v>
      </c>
      <c r="N23" s="61">
        <v>61.65</v>
      </c>
      <c r="O23" s="60">
        <v>0.12</v>
      </c>
      <c r="P23" s="60">
        <v>0.11</v>
      </c>
      <c r="Q23" s="60">
        <v>0.1</v>
      </c>
      <c r="R23" s="60">
        <v>0.11</v>
      </c>
      <c r="S23" s="60">
        <v>6.6</v>
      </c>
      <c r="T23" s="61">
        <v>4.95</v>
      </c>
      <c r="U23" s="60">
        <v>20.26</v>
      </c>
      <c r="V23" s="60">
        <v>19.08</v>
      </c>
      <c r="W23" s="60">
        <v>1</v>
      </c>
      <c r="X23" s="60">
        <v>0.97</v>
      </c>
      <c r="Y23" s="80"/>
      <c r="Z23" s="21"/>
      <c r="AA23" s="21"/>
      <c r="AB23" s="21"/>
      <c r="AC23" s="21"/>
      <c r="AD23" s="21"/>
      <c r="AE23" s="21"/>
    </row>
    <row r="24" spans="1:30" ht="17.25" customHeight="1">
      <c r="A24" s="119" t="s">
        <v>107</v>
      </c>
      <c r="B24" s="22" t="s">
        <v>108</v>
      </c>
      <c r="C24" s="17" t="s">
        <v>29</v>
      </c>
      <c r="D24" s="17" t="s">
        <v>29</v>
      </c>
      <c r="E24" s="18">
        <v>16.69</v>
      </c>
      <c r="F24" s="18">
        <v>16.69</v>
      </c>
      <c r="G24" s="18">
        <v>9</v>
      </c>
      <c r="H24" s="19">
        <v>9</v>
      </c>
      <c r="I24" s="18">
        <v>10</v>
      </c>
      <c r="J24" s="18">
        <v>10</v>
      </c>
      <c r="K24" s="19">
        <v>3</v>
      </c>
      <c r="L24" s="19">
        <v>3</v>
      </c>
      <c r="M24" s="19">
        <v>139</v>
      </c>
      <c r="N24" s="19">
        <v>139</v>
      </c>
      <c r="O24" s="19">
        <v>0.07</v>
      </c>
      <c r="P24" s="19">
        <v>0.07</v>
      </c>
      <c r="Q24" s="19">
        <v>0.09</v>
      </c>
      <c r="R24" s="19">
        <v>0.09</v>
      </c>
      <c r="S24" s="19">
        <v>0.34</v>
      </c>
      <c r="T24" s="19">
        <v>0.34</v>
      </c>
      <c r="U24" s="19">
        <v>12.73</v>
      </c>
      <c r="V24" s="19">
        <v>12.73</v>
      </c>
      <c r="W24" s="19">
        <v>0.74</v>
      </c>
      <c r="X24" s="38">
        <v>0.74</v>
      </c>
      <c r="Y24" s="80"/>
      <c r="Z24" s="21"/>
      <c r="AA24" s="21"/>
      <c r="AB24" s="21"/>
      <c r="AC24" s="21"/>
      <c r="AD24" s="21"/>
    </row>
    <row r="25" spans="1:29" ht="15.75" customHeight="1">
      <c r="A25" s="118" t="s">
        <v>102</v>
      </c>
      <c r="B25" s="57" t="s">
        <v>94</v>
      </c>
      <c r="C25" s="58" t="s">
        <v>58</v>
      </c>
      <c r="D25" s="58" t="s">
        <v>82</v>
      </c>
      <c r="E25" s="59">
        <v>5.38</v>
      </c>
      <c r="F25" s="59">
        <v>4.14</v>
      </c>
      <c r="G25" s="60">
        <f>H25*130/100</f>
        <v>3.25</v>
      </c>
      <c r="H25" s="60">
        <v>2.5</v>
      </c>
      <c r="I25" s="60">
        <f>J25*130/100</f>
        <v>5.98</v>
      </c>
      <c r="J25" s="60">
        <v>4.6</v>
      </c>
      <c r="K25" s="60">
        <f>L25*130/100</f>
        <v>13.91</v>
      </c>
      <c r="L25" s="60">
        <v>10.7</v>
      </c>
      <c r="M25" s="60">
        <f>N25*130/100</f>
        <v>122.46</v>
      </c>
      <c r="N25" s="60">
        <v>94.2</v>
      </c>
      <c r="O25" s="61"/>
      <c r="P25" s="60"/>
      <c r="Q25" s="61"/>
      <c r="R25" s="60"/>
      <c r="S25" s="60">
        <f>T25*130/100</f>
        <v>21.281</v>
      </c>
      <c r="T25" s="60">
        <v>16.37</v>
      </c>
      <c r="U25" s="61">
        <v>21.3</v>
      </c>
      <c r="V25" s="60">
        <f>U25*50/75</f>
        <v>14.2</v>
      </c>
      <c r="W25" s="61">
        <v>0.09</v>
      </c>
      <c r="X25" s="60">
        <f>W25*50/75</f>
        <v>0.06</v>
      </c>
      <c r="Z25" s="21"/>
      <c r="AA25" s="21"/>
      <c r="AB25" s="21"/>
      <c r="AC25" s="21"/>
    </row>
    <row r="26" spans="1:31" ht="27" customHeight="1">
      <c r="A26" s="121" t="s">
        <v>110</v>
      </c>
      <c r="B26" s="37" t="s">
        <v>100</v>
      </c>
      <c r="C26" s="23">
        <v>200</v>
      </c>
      <c r="D26" s="23">
        <v>150</v>
      </c>
      <c r="E26" s="18">
        <v>1.49</v>
      </c>
      <c r="F26" s="18">
        <v>1.12</v>
      </c>
      <c r="G26" s="18">
        <v>0.6</v>
      </c>
      <c r="H26" s="19">
        <f>G26*150/200</f>
        <v>0.45</v>
      </c>
      <c r="I26" s="18">
        <v>0</v>
      </c>
      <c r="J26" s="19">
        <f>I26*150/200</f>
        <v>0</v>
      </c>
      <c r="K26" s="18">
        <v>31.4</v>
      </c>
      <c r="L26" s="19">
        <f>K26*150/200</f>
        <v>23.55</v>
      </c>
      <c r="M26" s="18">
        <v>124</v>
      </c>
      <c r="N26" s="19">
        <f>M26*150/200</f>
        <v>93</v>
      </c>
      <c r="O26" s="19">
        <v>0.02</v>
      </c>
      <c r="P26" s="19">
        <f>O26*150/200</f>
        <v>0.015</v>
      </c>
      <c r="Q26" s="19">
        <v>0.03</v>
      </c>
      <c r="R26" s="19">
        <f>Q26*150/200</f>
        <v>0.0225</v>
      </c>
      <c r="S26" s="19">
        <v>0.45</v>
      </c>
      <c r="T26" s="19">
        <f>S26*150/200</f>
        <v>0.3375</v>
      </c>
      <c r="U26" s="19">
        <v>12.3</v>
      </c>
      <c r="V26" s="19">
        <f>U26*150/200</f>
        <v>9.225</v>
      </c>
      <c r="W26" s="38">
        <v>2</v>
      </c>
      <c r="X26" s="74">
        <f>W26*150/200</f>
        <v>1.5</v>
      </c>
      <c r="Y26" s="21"/>
      <c r="Z26" s="21"/>
      <c r="AA26" s="21"/>
      <c r="AB26" s="21"/>
      <c r="AC26" s="21"/>
      <c r="AD26" s="21"/>
      <c r="AE26" s="21"/>
    </row>
    <row r="27" spans="1:31" s="66" customFormat="1" ht="15" customHeight="1">
      <c r="A27" s="118"/>
      <c r="B27" s="57" t="s">
        <v>30</v>
      </c>
      <c r="C27" s="58" t="s">
        <v>31</v>
      </c>
      <c r="D27" s="58" t="s">
        <v>31</v>
      </c>
      <c r="E27" s="59">
        <v>1.11</v>
      </c>
      <c r="F27" s="59">
        <v>1.11</v>
      </c>
      <c r="G27" s="59">
        <v>1.6</v>
      </c>
      <c r="H27" s="59">
        <v>1.6</v>
      </c>
      <c r="I27" s="59">
        <v>0.4</v>
      </c>
      <c r="J27" s="59">
        <v>0.4</v>
      </c>
      <c r="K27" s="59">
        <v>10</v>
      </c>
      <c r="L27" s="59">
        <v>10</v>
      </c>
      <c r="M27" s="60">
        <v>54</v>
      </c>
      <c r="N27" s="60">
        <v>54</v>
      </c>
      <c r="O27" s="63">
        <v>0.04</v>
      </c>
      <c r="P27" s="64">
        <v>0.04</v>
      </c>
      <c r="Q27" s="63">
        <v>0.02</v>
      </c>
      <c r="R27" s="64">
        <v>0.02</v>
      </c>
      <c r="S27" s="63">
        <v>0</v>
      </c>
      <c r="T27" s="64">
        <v>0</v>
      </c>
      <c r="U27" s="63">
        <v>7.4</v>
      </c>
      <c r="V27" s="64">
        <v>7.4</v>
      </c>
      <c r="W27" s="63">
        <v>0.56</v>
      </c>
      <c r="X27" s="64">
        <v>0.56</v>
      </c>
      <c r="Y27" s="65"/>
      <c r="Z27" s="65"/>
      <c r="AA27" s="65"/>
      <c r="AB27" s="65"/>
      <c r="AC27" s="65"/>
      <c r="AD27" s="65"/>
      <c r="AE27" s="65"/>
    </row>
    <row r="28" spans="1:31" ht="15" customHeight="1">
      <c r="A28" s="118"/>
      <c r="B28" s="57" t="s">
        <v>32</v>
      </c>
      <c r="C28" s="58" t="s">
        <v>78</v>
      </c>
      <c r="D28" s="58" t="s">
        <v>79</v>
      </c>
      <c r="E28" s="59">
        <v>2.09</v>
      </c>
      <c r="F28" s="59">
        <v>1.83</v>
      </c>
      <c r="G28" s="59">
        <v>3.25</v>
      </c>
      <c r="H28" s="60">
        <v>2.84</v>
      </c>
      <c r="I28" s="60">
        <v>0.46</v>
      </c>
      <c r="J28" s="60">
        <f>I28*40.6/46</f>
        <v>0.406</v>
      </c>
      <c r="K28" s="60">
        <v>20.88</v>
      </c>
      <c r="L28" s="60">
        <v>18.27</v>
      </c>
      <c r="M28" s="60">
        <v>102.08</v>
      </c>
      <c r="N28" s="60">
        <v>89.32</v>
      </c>
      <c r="O28" s="61">
        <v>0.06</v>
      </c>
      <c r="P28" s="67">
        <v>0.04</v>
      </c>
      <c r="Q28" s="61">
        <v>0.04</v>
      </c>
      <c r="R28" s="67">
        <v>0.03</v>
      </c>
      <c r="S28" s="61">
        <v>0</v>
      </c>
      <c r="T28" s="60">
        <f>S28*40.6/46</f>
        <v>0</v>
      </c>
      <c r="U28" s="63">
        <v>17</v>
      </c>
      <c r="V28" s="64">
        <v>13.6</v>
      </c>
      <c r="W28" s="63">
        <v>1.15</v>
      </c>
      <c r="X28" s="64">
        <v>0.92</v>
      </c>
      <c r="Y28" s="21"/>
      <c r="Z28" s="21"/>
      <c r="AA28" s="21"/>
      <c r="AB28" s="21"/>
      <c r="AC28" s="21"/>
      <c r="AD28" s="21"/>
      <c r="AE28" s="21"/>
    </row>
    <row r="29" spans="1:32" ht="15" customHeight="1">
      <c r="A29" s="15"/>
      <c r="B29" s="16" t="s">
        <v>23</v>
      </c>
      <c r="C29" s="17"/>
      <c r="D29" s="17"/>
      <c r="E29" s="27">
        <f>SUM(E22:E28)</f>
        <v>31.619999999999997</v>
      </c>
      <c r="F29" s="27">
        <f>SUM(F22:F28)</f>
        <v>28.650000000000006</v>
      </c>
      <c r="G29" s="27">
        <f>SUM(G22:G28)-1</f>
        <v>19.3</v>
      </c>
      <c r="H29" s="27">
        <f>SUM(H22:H28)-1</f>
        <v>17.39</v>
      </c>
      <c r="I29" s="27">
        <f>SUM(I22:I28)</f>
        <v>22.64</v>
      </c>
      <c r="J29" s="27">
        <f>SUM(J22:J28)</f>
        <v>20.055999999999997</v>
      </c>
      <c r="K29" s="27">
        <f>SUM(K22:K28)+3</f>
        <v>100.59</v>
      </c>
      <c r="L29" s="27">
        <f>SUM(L22:L28)+0</f>
        <v>79.72</v>
      </c>
      <c r="M29" s="27">
        <f>SUM(M22:M28)-0</f>
        <v>677.74</v>
      </c>
      <c r="N29" s="27">
        <f>SUM(N22:N28)-18</f>
        <v>558.1700000000001</v>
      </c>
      <c r="O29" s="27">
        <f>SUM(O22:O28)</f>
        <v>0.32</v>
      </c>
      <c r="P29" s="27">
        <f>SUM(P22:P28)</f>
        <v>0.275</v>
      </c>
      <c r="Q29" s="27">
        <f>SUM(Q22:Q28)</f>
        <v>0.3</v>
      </c>
      <c r="R29" s="27">
        <f>SUM(R22:R28)</f>
        <v>0.27249999999999996</v>
      </c>
      <c r="S29" s="27">
        <f>SUM(S22:S28)-7</f>
        <v>27.371000000000002</v>
      </c>
      <c r="T29" s="27">
        <f>SUM(T22:T28)-5</f>
        <v>21.7475</v>
      </c>
      <c r="U29" s="27">
        <f aca="true" t="shared" si="3" ref="U29:AB29">SUM(U22:U28)</f>
        <v>111.68</v>
      </c>
      <c r="V29" s="27">
        <f t="shared" si="3"/>
        <v>76.235</v>
      </c>
      <c r="W29" s="27">
        <f t="shared" si="3"/>
        <v>6.32</v>
      </c>
      <c r="X29" s="27">
        <f t="shared" si="3"/>
        <v>4.75</v>
      </c>
      <c r="Y29" s="27">
        <f t="shared" si="3"/>
        <v>0</v>
      </c>
      <c r="Z29" s="27">
        <f t="shared" si="3"/>
        <v>0</v>
      </c>
      <c r="AA29" s="27">
        <f t="shared" si="3"/>
        <v>0</v>
      </c>
      <c r="AB29" s="27">
        <f t="shared" si="3"/>
        <v>0</v>
      </c>
      <c r="AC29" s="72"/>
      <c r="AD29" s="21"/>
      <c r="AE29" s="21"/>
      <c r="AF29" s="21"/>
    </row>
    <row r="30" spans="1:32" ht="15" customHeight="1">
      <c r="A30" s="15"/>
      <c r="B30" s="87" t="s">
        <v>33</v>
      </c>
      <c r="C30" s="17"/>
      <c r="D30" s="17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28"/>
      <c r="P30" s="28"/>
      <c r="Q30" s="28"/>
      <c r="R30" s="28"/>
      <c r="S30" s="28"/>
      <c r="T30" s="28"/>
      <c r="U30" s="28"/>
      <c r="V30" s="28"/>
      <c r="W30" s="28"/>
      <c r="X30" s="76"/>
      <c r="Y30" s="21"/>
      <c r="Z30" s="36"/>
      <c r="AA30" s="36"/>
      <c r="AB30" s="36"/>
      <c r="AC30" s="21"/>
      <c r="AD30" s="21"/>
      <c r="AE30" s="21"/>
      <c r="AF30" s="21"/>
    </row>
    <row r="31" spans="1:30" ht="26.25" customHeight="1">
      <c r="A31" s="118" t="s">
        <v>34</v>
      </c>
      <c r="B31" s="57" t="s">
        <v>135</v>
      </c>
      <c r="C31" s="58" t="s">
        <v>136</v>
      </c>
      <c r="D31" s="58" t="s">
        <v>136</v>
      </c>
      <c r="E31" s="59">
        <v>11.8</v>
      </c>
      <c r="F31" s="59">
        <v>11.8</v>
      </c>
      <c r="G31" s="108">
        <v>6.75</v>
      </c>
      <c r="H31" s="60">
        <v>6.75</v>
      </c>
      <c r="I31" s="108">
        <v>7.02</v>
      </c>
      <c r="J31" s="60">
        <v>7.02</v>
      </c>
      <c r="K31" s="108">
        <v>21.15</v>
      </c>
      <c r="L31" s="60">
        <v>21.15</v>
      </c>
      <c r="M31" s="108">
        <v>174.78</v>
      </c>
      <c r="N31" s="60">
        <v>174.78</v>
      </c>
      <c r="O31" s="108">
        <v>0.1</v>
      </c>
      <c r="P31" s="60">
        <f>O31*215/230</f>
        <v>0.09347826086956522</v>
      </c>
      <c r="Q31" s="108">
        <v>0.29</v>
      </c>
      <c r="R31" s="60">
        <f>Q31*215/230</f>
        <v>0.2710869565217391</v>
      </c>
      <c r="S31" s="108">
        <v>2.46</v>
      </c>
      <c r="T31" s="60">
        <v>2.46</v>
      </c>
      <c r="U31" s="59">
        <v>275.74</v>
      </c>
      <c r="V31" s="60">
        <v>275.74</v>
      </c>
      <c r="W31" s="59">
        <v>0.23</v>
      </c>
      <c r="X31" s="81">
        <v>0.23</v>
      </c>
      <c r="Y31" s="79"/>
      <c r="Z31" s="36"/>
      <c r="AA31" s="36"/>
      <c r="AB31" s="36"/>
      <c r="AC31" s="36"/>
      <c r="AD31" s="31"/>
    </row>
    <row r="32" spans="1:29" s="71" customFormat="1" ht="15" customHeight="1">
      <c r="A32" s="15"/>
      <c r="B32" s="16" t="s">
        <v>23</v>
      </c>
      <c r="C32" s="17"/>
      <c r="D32" s="17"/>
      <c r="E32" s="27">
        <f>SUM(E31)</f>
        <v>11.8</v>
      </c>
      <c r="F32" s="27">
        <f>SUM(F31)</f>
        <v>11.8</v>
      </c>
      <c r="G32" s="27">
        <f aca="true" t="shared" si="4" ref="G32:T32">SUM(G31)</f>
        <v>6.75</v>
      </c>
      <c r="H32" s="27">
        <f t="shared" si="4"/>
        <v>6.75</v>
      </c>
      <c r="I32" s="27">
        <f t="shared" si="4"/>
        <v>7.02</v>
      </c>
      <c r="J32" s="27">
        <f t="shared" si="4"/>
        <v>7.02</v>
      </c>
      <c r="K32" s="27">
        <f t="shared" si="4"/>
        <v>21.15</v>
      </c>
      <c r="L32" s="27">
        <f t="shared" si="4"/>
        <v>21.15</v>
      </c>
      <c r="M32" s="27">
        <f t="shared" si="4"/>
        <v>174.78</v>
      </c>
      <c r="N32" s="27">
        <f t="shared" si="4"/>
        <v>174.78</v>
      </c>
      <c r="O32" s="27">
        <f t="shared" si="4"/>
        <v>0.1</v>
      </c>
      <c r="P32" s="27">
        <f t="shared" si="4"/>
        <v>0.09347826086956522</v>
      </c>
      <c r="Q32" s="27">
        <f t="shared" si="4"/>
        <v>0.29</v>
      </c>
      <c r="R32" s="27">
        <f t="shared" si="4"/>
        <v>0.2710869565217391</v>
      </c>
      <c r="S32" s="27">
        <f t="shared" si="4"/>
        <v>2.46</v>
      </c>
      <c r="T32" s="27">
        <f t="shared" si="4"/>
        <v>2.46</v>
      </c>
      <c r="U32" s="27" t="e">
        <f>SUM(#REF!)</f>
        <v>#REF!</v>
      </c>
      <c r="V32" s="27" t="e">
        <f>SUM(#REF!)</f>
        <v>#REF!</v>
      </c>
      <c r="W32" s="27" t="e">
        <f>SUM(#REF!)</f>
        <v>#REF!</v>
      </c>
      <c r="X32" s="82" t="e">
        <f>SUM(#REF!)</f>
        <v>#REF!</v>
      </c>
      <c r="Y32" s="83"/>
      <c r="Z32" s="72"/>
      <c r="AA32" s="72"/>
      <c r="AB32" s="72"/>
      <c r="AC32" s="72"/>
    </row>
    <row r="33" spans="1:32" ht="15" customHeight="1">
      <c r="A33" s="15"/>
      <c r="B33" s="87" t="s">
        <v>36</v>
      </c>
      <c r="C33" s="17"/>
      <c r="D33" s="17"/>
      <c r="E33" s="32"/>
      <c r="F33" s="18"/>
      <c r="G33" s="18"/>
      <c r="H33" s="19"/>
      <c r="I33" s="19"/>
      <c r="J33" s="19"/>
      <c r="K33" s="19"/>
      <c r="L33" s="19"/>
      <c r="M33" s="19"/>
      <c r="N33" s="19"/>
      <c r="O33" s="28"/>
      <c r="P33" s="28"/>
      <c r="Q33" s="28"/>
      <c r="R33" s="28"/>
      <c r="S33" s="28"/>
      <c r="T33" s="28"/>
      <c r="U33" s="28"/>
      <c r="V33" s="28"/>
      <c r="W33" s="28"/>
      <c r="X33" s="76"/>
      <c r="Y33" s="21"/>
      <c r="Z33" s="36"/>
      <c r="AA33" s="36"/>
      <c r="AB33" s="36"/>
      <c r="AC33" s="21"/>
      <c r="AD33" s="21"/>
      <c r="AE33" s="21"/>
      <c r="AF33" s="21"/>
    </row>
    <row r="34" spans="1:33" ht="15" customHeight="1">
      <c r="A34" s="119"/>
      <c r="B34" s="16" t="s">
        <v>44</v>
      </c>
      <c r="C34" s="17" t="s">
        <v>150</v>
      </c>
      <c r="D34" s="17" t="s">
        <v>149</v>
      </c>
      <c r="E34" s="18">
        <v>11.34</v>
      </c>
      <c r="F34" s="18">
        <v>10.45</v>
      </c>
      <c r="G34" s="18">
        <f>H34*152/140</f>
        <v>0.608</v>
      </c>
      <c r="H34" s="19">
        <v>0.56</v>
      </c>
      <c r="I34" s="18">
        <v>0</v>
      </c>
      <c r="J34" s="19">
        <v>0</v>
      </c>
      <c r="K34" s="18">
        <f>L34*152/140</f>
        <v>14.896</v>
      </c>
      <c r="L34" s="19">
        <v>13.72</v>
      </c>
      <c r="M34" s="18">
        <f>N34*152/140</f>
        <v>57.760000000000005</v>
      </c>
      <c r="N34" s="19">
        <v>53.2</v>
      </c>
      <c r="O34" s="18">
        <v>0.02</v>
      </c>
      <c r="P34" s="19">
        <v>0.02</v>
      </c>
      <c r="Q34" s="18">
        <f>R34*160/150</f>
        <v>0.05333333333333334</v>
      </c>
      <c r="R34" s="19">
        <v>0.05</v>
      </c>
      <c r="S34" s="18">
        <f>T34*152/140</f>
        <v>24.319999999999997</v>
      </c>
      <c r="T34" s="19">
        <v>22.4</v>
      </c>
      <c r="U34" s="18">
        <v>24</v>
      </c>
      <c r="V34" s="19">
        <v>24</v>
      </c>
      <c r="W34" s="18">
        <v>3.3</v>
      </c>
      <c r="X34" s="38">
        <v>3.3</v>
      </c>
      <c r="Y34" s="80"/>
      <c r="Z34" s="36"/>
      <c r="AA34" s="36"/>
      <c r="AB34" s="36"/>
      <c r="AC34" s="21"/>
      <c r="AD34" s="21"/>
      <c r="AE34" s="21"/>
      <c r="AF34" s="21"/>
      <c r="AG34" s="21"/>
    </row>
    <row r="35" spans="1:29" s="30" customFormat="1" ht="18.75" customHeight="1">
      <c r="A35" s="120" t="s">
        <v>121</v>
      </c>
      <c r="B35" s="57" t="s">
        <v>122</v>
      </c>
      <c r="C35" s="58" t="s">
        <v>29</v>
      </c>
      <c r="D35" s="58" t="s">
        <v>29</v>
      </c>
      <c r="E35" s="59">
        <v>25.79</v>
      </c>
      <c r="F35" s="59">
        <v>25.79</v>
      </c>
      <c r="G35" s="59">
        <v>15.77</v>
      </c>
      <c r="H35" s="60">
        <v>15.77</v>
      </c>
      <c r="I35" s="60">
        <v>2.76</v>
      </c>
      <c r="J35" s="60">
        <v>2.76</v>
      </c>
      <c r="K35" s="60">
        <v>7.3</v>
      </c>
      <c r="L35" s="60">
        <v>7.3</v>
      </c>
      <c r="M35" s="60">
        <v>117</v>
      </c>
      <c r="N35" s="60">
        <v>117</v>
      </c>
      <c r="O35" s="60">
        <v>0.09</v>
      </c>
      <c r="P35" s="60">
        <v>0.09</v>
      </c>
      <c r="Q35" s="60">
        <v>0.1</v>
      </c>
      <c r="R35" s="60">
        <v>0.1</v>
      </c>
      <c r="S35" s="60">
        <v>2.29</v>
      </c>
      <c r="T35" s="60">
        <v>2.29</v>
      </c>
      <c r="U35" s="60">
        <v>23.97</v>
      </c>
      <c r="V35" s="60">
        <v>23.97</v>
      </c>
      <c r="W35" s="60">
        <v>0.61</v>
      </c>
      <c r="X35" s="60">
        <v>0.61</v>
      </c>
      <c r="Y35" s="35"/>
      <c r="Z35" s="101"/>
      <c r="AA35" s="101"/>
      <c r="AB35" s="101"/>
      <c r="AC35" s="35"/>
    </row>
    <row r="36" spans="1:31" ht="15" customHeight="1">
      <c r="A36" s="118" t="s">
        <v>83</v>
      </c>
      <c r="B36" s="57" t="s">
        <v>84</v>
      </c>
      <c r="C36" s="58" t="s">
        <v>58</v>
      </c>
      <c r="D36" s="58" t="s">
        <v>82</v>
      </c>
      <c r="E36" s="59">
        <v>6.73</v>
      </c>
      <c r="F36" s="59">
        <v>5.17</v>
      </c>
      <c r="G36" s="60">
        <f>H36*130/100</f>
        <v>2.6</v>
      </c>
      <c r="H36" s="60">
        <v>2</v>
      </c>
      <c r="I36" s="60">
        <f>J36*130/100</f>
        <v>4.16</v>
      </c>
      <c r="J36" s="60">
        <v>3.2</v>
      </c>
      <c r="K36" s="60">
        <f>L36*130/100</f>
        <v>17.68</v>
      </c>
      <c r="L36" s="60">
        <v>13.6</v>
      </c>
      <c r="M36" s="60">
        <f>N36*130/100</f>
        <v>121.329</v>
      </c>
      <c r="N36" s="60">
        <v>93.33</v>
      </c>
      <c r="O36" s="61">
        <v>0.16</v>
      </c>
      <c r="P36" s="61">
        <v>0</v>
      </c>
      <c r="Q36" s="61">
        <v>0.1</v>
      </c>
      <c r="R36" s="61">
        <f>Q36/1.5</f>
        <v>0.06666666666666667</v>
      </c>
      <c r="S36" s="60">
        <f>T36*130/100</f>
        <v>15.691</v>
      </c>
      <c r="T36" s="60">
        <v>12.07</v>
      </c>
      <c r="U36" s="63">
        <v>42.66</v>
      </c>
      <c r="V36" s="63">
        <v>35.44</v>
      </c>
      <c r="W36" s="63">
        <v>0.19</v>
      </c>
      <c r="X36" s="63">
        <f>W36/1.5</f>
        <v>0.12666666666666668</v>
      </c>
      <c r="Y36" s="21"/>
      <c r="Z36" s="21"/>
      <c r="AA36" s="21"/>
      <c r="AB36" s="21"/>
      <c r="AC36" s="21"/>
      <c r="AD36" s="21"/>
      <c r="AE36" s="21"/>
    </row>
    <row r="37" spans="1:31" ht="15" customHeight="1">
      <c r="A37" s="119" t="s">
        <v>90</v>
      </c>
      <c r="B37" s="22" t="s">
        <v>91</v>
      </c>
      <c r="C37" s="17" t="s">
        <v>21</v>
      </c>
      <c r="D37" s="17" t="s">
        <v>22</v>
      </c>
      <c r="E37" s="18">
        <v>0.51</v>
      </c>
      <c r="F37" s="18">
        <v>0.38</v>
      </c>
      <c r="G37" s="18">
        <v>0.18</v>
      </c>
      <c r="H37" s="19">
        <v>0.13</v>
      </c>
      <c r="I37" s="18">
        <f>J37*200/150</f>
        <v>0</v>
      </c>
      <c r="J37" s="19">
        <v>0</v>
      </c>
      <c r="K37" s="18">
        <v>4.78</v>
      </c>
      <c r="L37" s="19">
        <v>3.58</v>
      </c>
      <c r="M37" s="18">
        <v>19.9</v>
      </c>
      <c r="N37" s="19">
        <v>14.92</v>
      </c>
      <c r="O37" s="18">
        <f>P37*200/150</f>
        <v>0.013333333333333334</v>
      </c>
      <c r="P37" s="28">
        <v>0.01</v>
      </c>
      <c r="Q37" s="18">
        <f>R37*200/150</f>
        <v>0.013333333333333334</v>
      </c>
      <c r="R37" s="28">
        <v>0.01</v>
      </c>
      <c r="S37" s="18">
        <v>0.04</v>
      </c>
      <c r="T37" s="28">
        <v>0.03</v>
      </c>
      <c r="U37" s="18">
        <f>V37*200/150</f>
        <v>5.053333333333334</v>
      </c>
      <c r="V37" s="28">
        <v>3.79</v>
      </c>
      <c r="W37" s="18">
        <f>X37*200/150</f>
        <v>0.84</v>
      </c>
      <c r="X37" s="76">
        <v>0.63</v>
      </c>
      <c r="Y37" s="21"/>
      <c r="Z37" s="21"/>
      <c r="AA37" s="21"/>
      <c r="AB37" s="21"/>
      <c r="AC37" s="21"/>
      <c r="AD37" s="21"/>
      <c r="AE37" s="21"/>
    </row>
    <row r="38" spans="1:31" s="66" customFormat="1" ht="15" customHeight="1">
      <c r="A38" s="118"/>
      <c r="B38" s="57" t="s">
        <v>30</v>
      </c>
      <c r="C38" s="58" t="s">
        <v>31</v>
      </c>
      <c r="D38" s="58" t="s">
        <v>31</v>
      </c>
      <c r="E38" s="59">
        <v>1.11</v>
      </c>
      <c r="F38" s="59">
        <v>1.11</v>
      </c>
      <c r="G38" s="59">
        <v>1.6</v>
      </c>
      <c r="H38" s="59">
        <v>1.6</v>
      </c>
      <c r="I38" s="59">
        <v>0.4</v>
      </c>
      <c r="J38" s="59">
        <v>0.4</v>
      </c>
      <c r="K38" s="59">
        <v>10</v>
      </c>
      <c r="L38" s="59">
        <v>10</v>
      </c>
      <c r="M38" s="60">
        <v>54</v>
      </c>
      <c r="N38" s="60">
        <v>54</v>
      </c>
      <c r="O38" s="63">
        <v>0.04</v>
      </c>
      <c r="P38" s="64">
        <v>0.04</v>
      </c>
      <c r="Q38" s="63">
        <v>0.02</v>
      </c>
      <c r="R38" s="64">
        <v>0.02</v>
      </c>
      <c r="S38" s="63">
        <v>0</v>
      </c>
      <c r="T38" s="64">
        <v>0</v>
      </c>
      <c r="U38" s="63">
        <v>7.4</v>
      </c>
      <c r="V38" s="64">
        <v>7.4</v>
      </c>
      <c r="W38" s="63">
        <v>0.56</v>
      </c>
      <c r="X38" s="64">
        <v>0.56</v>
      </c>
      <c r="Y38" s="65"/>
      <c r="Z38" s="65"/>
      <c r="AA38" s="65"/>
      <c r="AB38" s="65"/>
      <c r="AC38" s="65"/>
      <c r="AD38" s="65"/>
      <c r="AE38" s="65"/>
    </row>
    <row r="39" spans="1:32" ht="15" customHeight="1">
      <c r="A39" s="15"/>
      <c r="B39" s="16" t="s">
        <v>23</v>
      </c>
      <c r="C39" s="17"/>
      <c r="D39" s="17"/>
      <c r="E39" s="27">
        <f>SUM(E34:E38)</f>
        <v>45.48</v>
      </c>
      <c r="F39" s="27">
        <f>SUM(F34:F38)</f>
        <v>42.9</v>
      </c>
      <c r="G39" s="27">
        <f aca="true" t="shared" si="5" ref="G39:T39">SUM(G34:G38)</f>
        <v>20.758000000000003</v>
      </c>
      <c r="H39" s="27">
        <f t="shared" si="5"/>
        <v>20.06</v>
      </c>
      <c r="I39" s="27">
        <f t="shared" si="5"/>
        <v>7.32</v>
      </c>
      <c r="J39" s="27">
        <f t="shared" si="5"/>
        <v>6.36</v>
      </c>
      <c r="K39" s="27">
        <f t="shared" si="5"/>
        <v>54.656000000000006</v>
      </c>
      <c r="L39" s="27">
        <f t="shared" si="5"/>
        <v>48.199999999999996</v>
      </c>
      <c r="M39" s="27">
        <f t="shared" si="5"/>
        <v>369.989</v>
      </c>
      <c r="N39" s="27">
        <f t="shared" si="5"/>
        <v>332.45</v>
      </c>
      <c r="O39" s="27">
        <f t="shared" si="5"/>
        <v>0.3233333333333333</v>
      </c>
      <c r="P39" s="27">
        <f t="shared" si="5"/>
        <v>0.16</v>
      </c>
      <c r="Q39" s="27">
        <f t="shared" si="5"/>
        <v>0.2866666666666667</v>
      </c>
      <c r="R39" s="27">
        <f t="shared" si="5"/>
        <v>0.24666666666666667</v>
      </c>
      <c r="S39" s="27">
        <f t="shared" si="5"/>
        <v>42.340999999999994</v>
      </c>
      <c r="T39" s="27">
        <f t="shared" si="5"/>
        <v>36.79</v>
      </c>
      <c r="U39" s="27">
        <f aca="true" t="shared" si="6" ref="U39:AB39">SUM(U34:U38)</f>
        <v>103.08333333333333</v>
      </c>
      <c r="V39" s="27">
        <f t="shared" si="6"/>
        <v>94.60000000000001</v>
      </c>
      <c r="W39" s="27">
        <f t="shared" si="6"/>
        <v>5.5</v>
      </c>
      <c r="X39" s="27">
        <f t="shared" si="6"/>
        <v>5.226666666666667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72"/>
      <c r="AD39" s="21"/>
      <c r="AE39" s="21"/>
      <c r="AF39" s="21"/>
    </row>
    <row r="40" spans="1:32" ht="15" customHeight="1">
      <c r="A40" s="15"/>
      <c r="B40" s="16" t="s">
        <v>37</v>
      </c>
      <c r="C40" s="17"/>
      <c r="D40" s="17"/>
      <c r="E40" s="27">
        <f>E39+E32+E29+E20+E17</f>
        <v>102.96000000000001</v>
      </c>
      <c r="F40" s="27">
        <f>F39+F32+F29+F20+F17</f>
        <v>95.91000000000001</v>
      </c>
      <c r="G40" s="27">
        <f aca="true" t="shared" si="7" ref="G40:T40">G39+G32+G29+G20+G17</f>
        <v>53.69800000000001</v>
      </c>
      <c r="H40" s="27">
        <f t="shared" si="7"/>
        <v>49.78</v>
      </c>
      <c r="I40" s="27">
        <f t="shared" si="7"/>
        <v>46.940000000000005</v>
      </c>
      <c r="J40" s="27">
        <f t="shared" si="7"/>
        <v>42.08599999999999</v>
      </c>
      <c r="K40" s="27">
        <f t="shared" si="7"/>
        <v>258.716</v>
      </c>
      <c r="L40" s="27">
        <f t="shared" si="7"/>
        <v>215.66</v>
      </c>
      <c r="M40" s="27">
        <f t="shared" si="7"/>
        <v>1664.529</v>
      </c>
      <c r="N40" s="27">
        <f t="shared" si="7"/>
        <v>1428.6200000000001</v>
      </c>
      <c r="O40" s="27">
        <f t="shared" si="7"/>
        <v>0.9433333333333334</v>
      </c>
      <c r="P40" s="27">
        <f t="shared" si="7"/>
        <v>0.6684782608695653</v>
      </c>
      <c r="Q40" s="27">
        <f t="shared" si="7"/>
        <v>0.9806666666666667</v>
      </c>
      <c r="R40" s="27">
        <f t="shared" si="7"/>
        <v>0.8602536231884058</v>
      </c>
      <c r="S40" s="27">
        <f t="shared" si="7"/>
        <v>75.172</v>
      </c>
      <c r="T40" s="27">
        <f t="shared" si="7"/>
        <v>63.9975</v>
      </c>
      <c r="U40" s="27" t="e">
        <f>U39+U32+U29+U20+U17</f>
        <v>#REF!</v>
      </c>
      <c r="V40" s="27" t="e">
        <f>V39+V32+V29+V20+V17</f>
        <v>#REF!</v>
      </c>
      <c r="W40" s="27" t="e">
        <f>W39+W32+W29+W20+W17</f>
        <v>#REF!</v>
      </c>
      <c r="X40" s="75" t="e">
        <f>X39+X32+X29+X20+X17</f>
        <v>#REF!</v>
      </c>
      <c r="Y40" s="72"/>
      <c r="Z40" s="72"/>
      <c r="AA40" s="72"/>
      <c r="AB40" s="72"/>
      <c r="AC40" s="72"/>
      <c r="AD40" s="21"/>
      <c r="AE40" s="21"/>
      <c r="AF40" s="21"/>
    </row>
    <row r="41" spans="1:32" ht="15" customHeight="1">
      <c r="A41" s="15"/>
      <c r="B41" s="16"/>
      <c r="C41" s="17"/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75"/>
      <c r="Y41" s="72"/>
      <c r="Z41" s="72"/>
      <c r="AA41" s="72"/>
      <c r="AB41" s="72"/>
      <c r="AC41" s="72"/>
      <c r="AD41" s="21"/>
      <c r="AE41" s="21"/>
      <c r="AF41" s="21"/>
    </row>
    <row r="42" spans="1:32" ht="15" customHeight="1">
      <c r="A42" s="15"/>
      <c r="B42" s="85" t="s">
        <v>133</v>
      </c>
      <c r="C42" s="17"/>
      <c r="D42" s="17"/>
      <c r="E42" s="18"/>
      <c r="F42" s="18"/>
      <c r="G42" s="18"/>
      <c r="H42" s="19"/>
      <c r="I42" s="19"/>
      <c r="J42" s="19"/>
      <c r="K42" s="19"/>
      <c r="L42" s="19"/>
      <c r="M42" s="19"/>
      <c r="N42" s="19"/>
      <c r="O42" s="28"/>
      <c r="P42" s="28"/>
      <c r="Q42" s="28"/>
      <c r="R42" s="28"/>
      <c r="S42" s="28"/>
      <c r="T42" s="28"/>
      <c r="U42" s="28"/>
      <c r="V42" s="28"/>
      <c r="W42" s="28"/>
      <c r="X42" s="76"/>
      <c r="Y42" s="21"/>
      <c r="Z42" s="36"/>
      <c r="AA42" s="36"/>
      <c r="AB42" s="36"/>
      <c r="AC42" s="21"/>
      <c r="AD42" s="21"/>
      <c r="AE42" s="21"/>
      <c r="AF42" s="21"/>
    </row>
    <row r="43" spans="1:32" ht="15" customHeight="1">
      <c r="A43" s="15"/>
      <c r="B43" s="87" t="s">
        <v>17</v>
      </c>
      <c r="C43" s="17"/>
      <c r="D43" s="17"/>
      <c r="E43" s="18"/>
      <c r="F43" s="18"/>
      <c r="G43" s="18"/>
      <c r="H43" s="19"/>
      <c r="I43" s="19"/>
      <c r="J43" s="19"/>
      <c r="K43" s="19"/>
      <c r="L43" s="19"/>
      <c r="M43" s="19"/>
      <c r="N43" s="19"/>
      <c r="O43" s="28"/>
      <c r="P43" s="28"/>
      <c r="Q43" s="28"/>
      <c r="R43" s="28"/>
      <c r="S43" s="28"/>
      <c r="T43" s="28"/>
      <c r="U43" s="28"/>
      <c r="V43" s="28"/>
      <c r="W43" s="28"/>
      <c r="X43" s="76"/>
      <c r="Y43" s="21"/>
      <c r="Z43" s="36"/>
      <c r="AA43" s="36"/>
      <c r="AB43" s="36"/>
      <c r="AC43" s="21"/>
      <c r="AD43" s="21"/>
      <c r="AE43" s="21"/>
      <c r="AF43" s="21"/>
    </row>
    <row r="44" spans="1:30" s="31" customFormat="1" ht="14.25" customHeight="1">
      <c r="A44" s="118" t="s">
        <v>67</v>
      </c>
      <c r="B44" s="57" t="s">
        <v>101</v>
      </c>
      <c r="C44" s="58" t="s">
        <v>86</v>
      </c>
      <c r="D44" s="58" t="s">
        <v>86</v>
      </c>
      <c r="E44" s="59">
        <v>4.35</v>
      </c>
      <c r="F44" s="59">
        <v>4.35</v>
      </c>
      <c r="G44" s="59">
        <v>2.9</v>
      </c>
      <c r="H44" s="60">
        <v>2.9</v>
      </c>
      <c r="I44" s="59">
        <v>1.95</v>
      </c>
      <c r="J44" s="60">
        <v>1.95</v>
      </c>
      <c r="K44" s="59">
        <v>10.4</v>
      </c>
      <c r="L44" s="60">
        <v>10.4</v>
      </c>
      <c r="M44" s="59">
        <v>70.75</v>
      </c>
      <c r="N44" s="60">
        <v>70.75</v>
      </c>
      <c r="O44" s="116">
        <v>0.08</v>
      </c>
      <c r="P44" s="116">
        <f>O44*40/60</f>
        <v>0.05333333333333334</v>
      </c>
      <c r="Q44" s="116">
        <v>0.06</v>
      </c>
      <c r="R44" s="116">
        <f>Q44*40/60</f>
        <v>0.04</v>
      </c>
      <c r="S44" s="59">
        <v>0.14</v>
      </c>
      <c r="T44" s="60">
        <v>0.14</v>
      </c>
      <c r="U44" s="60">
        <v>70.8</v>
      </c>
      <c r="V44" s="60">
        <f>U44*40/60</f>
        <v>47.2</v>
      </c>
      <c r="W44" s="60">
        <v>0.81</v>
      </c>
      <c r="X44" s="81">
        <f>W44*40/60</f>
        <v>0.5400000000000001</v>
      </c>
      <c r="Y44" s="79"/>
      <c r="Z44" s="36"/>
      <c r="AA44" s="36"/>
      <c r="AB44" s="36"/>
      <c r="AC44" s="36"/>
      <c r="AD44" s="36"/>
    </row>
    <row r="45" spans="1:31" ht="15" customHeight="1">
      <c r="A45" s="119" t="s">
        <v>61</v>
      </c>
      <c r="B45" s="16" t="s">
        <v>62</v>
      </c>
      <c r="C45" s="17" t="s">
        <v>63</v>
      </c>
      <c r="D45" s="17" t="s">
        <v>63</v>
      </c>
      <c r="E45" s="18">
        <v>5.19</v>
      </c>
      <c r="F45" s="18">
        <v>5.19</v>
      </c>
      <c r="G45" s="18">
        <v>5.1</v>
      </c>
      <c r="H45" s="18">
        <v>5.1</v>
      </c>
      <c r="I45" s="19">
        <v>4.6</v>
      </c>
      <c r="J45" s="19">
        <v>4.6</v>
      </c>
      <c r="K45" s="19">
        <v>0.3</v>
      </c>
      <c r="L45" s="19">
        <v>0.3</v>
      </c>
      <c r="M45" s="19">
        <v>63</v>
      </c>
      <c r="N45" s="19">
        <v>63</v>
      </c>
      <c r="O45" s="26">
        <v>0.03</v>
      </c>
      <c r="P45" s="26">
        <v>0.03</v>
      </c>
      <c r="Q45" s="26">
        <v>0.18</v>
      </c>
      <c r="R45" s="26">
        <v>0.18</v>
      </c>
      <c r="S45" s="26">
        <v>0</v>
      </c>
      <c r="T45" s="26">
        <v>0</v>
      </c>
      <c r="U45" s="26">
        <v>22</v>
      </c>
      <c r="V45" s="26">
        <v>22</v>
      </c>
      <c r="W45" s="26">
        <v>1.08</v>
      </c>
      <c r="X45" s="77">
        <v>1.08</v>
      </c>
      <c r="Y45" s="21"/>
      <c r="Z45" s="21"/>
      <c r="AA45" s="21"/>
      <c r="AB45" s="21"/>
      <c r="AC45" s="21"/>
      <c r="AD45" s="21"/>
      <c r="AE45" s="21"/>
    </row>
    <row r="46" spans="1:33" ht="13.5" customHeight="1">
      <c r="A46" s="118" t="s">
        <v>97</v>
      </c>
      <c r="B46" s="57" t="s">
        <v>123</v>
      </c>
      <c r="C46" s="58" t="s">
        <v>21</v>
      </c>
      <c r="D46" s="58" t="s">
        <v>22</v>
      </c>
      <c r="E46" s="18">
        <v>6.72</v>
      </c>
      <c r="F46" s="18">
        <v>5.04</v>
      </c>
      <c r="G46" s="59">
        <v>5.76</v>
      </c>
      <c r="H46" s="59">
        <v>4.32</v>
      </c>
      <c r="I46" s="59">
        <v>6.64</v>
      </c>
      <c r="J46" s="59">
        <v>4.98</v>
      </c>
      <c r="K46" s="59">
        <v>19.28</v>
      </c>
      <c r="L46" s="59">
        <f>K46*150/200</f>
        <v>14.46</v>
      </c>
      <c r="M46" s="59">
        <v>160</v>
      </c>
      <c r="N46" s="59">
        <v>120</v>
      </c>
      <c r="O46" s="60">
        <v>0.09</v>
      </c>
      <c r="P46" s="59">
        <f>O46*150/200</f>
        <v>0.0675</v>
      </c>
      <c r="Q46" s="60">
        <v>0.14</v>
      </c>
      <c r="R46" s="59">
        <f>Q46*150/200</f>
        <v>0.10500000000000002</v>
      </c>
      <c r="S46" s="60">
        <v>0.9</v>
      </c>
      <c r="T46" s="59">
        <v>0.67</v>
      </c>
      <c r="U46" s="60">
        <v>129.32</v>
      </c>
      <c r="V46" s="59">
        <f>U46*150/200</f>
        <v>96.99</v>
      </c>
      <c r="W46" s="60">
        <v>0.42</v>
      </c>
      <c r="X46" s="124">
        <f>W46*150/200</f>
        <v>0.315</v>
      </c>
      <c r="Y46" s="80"/>
      <c r="Z46" s="21"/>
      <c r="AA46" s="21"/>
      <c r="AB46" s="21"/>
      <c r="AC46" s="21"/>
      <c r="AD46" s="21"/>
      <c r="AE46" s="21"/>
      <c r="AF46" s="21"/>
      <c r="AG46" s="21"/>
    </row>
    <row r="47" spans="1:31" ht="15.75" customHeight="1">
      <c r="A47" s="118" t="s">
        <v>50</v>
      </c>
      <c r="B47" s="57" t="s">
        <v>40</v>
      </c>
      <c r="C47" s="58" t="s">
        <v>26</v>
      </c>
      <c r="D47" s="58" t="s">
        <v>22</v>
      </c>
      <c r="E47" s="59">
        <v>5.92</v>
      </c>
      <c r="F47" s="59">
        <v>4.78</v>
      </c>
      <c r="G47" s="59">
        <v>2.85</v>
      </c>
      <c r="H47" s="60">
        <v>2.34</v>
      </c>
      <c r="I47" s="59">
        <v>2.41</v>
      </c>
      <c r="J47" s="60">
        <v>2</v>
      </c>
      <c r="K47" s="59">
        <v>14.36</v>
      </c>
      <c r="L47" s="60">
        <v>10.63</v>
      </c>
      <c r="M47" s="59">
        <v>91</v>
      </c>
      <c r="N47" s="60">
        <v>70</v>
      </c>
      <c r="O47" s="59">
        <f>P47*180/150</f>
        <v>0.012</v>
      </c>
      <c r="P47" s="67">
        <v>0.01</v>
      </c>
      <c r="Q47" s="59">
        <f>R47*180/150</f>
        <v>0.084</v>
      </c>
      <c r="R47" s="67">
        <v>0.07</v>
      </c>
      <c r="S47" s="59">
        <v>1.17</v>
      </c>
      <c r="T47" s="60">
        <f>S47*150/180</f>
        <v>0.975</v>
      </c>
      <c r="U47" s="59">
        <f>V47*180/150</f>
        <v>57.516</v>
      </c>
      <c r="V47" s="67">
        <v>47.93</v>
      </c>
      <c r="W47" s="59">
        <f>X47*180/150</f>
        <v>0.264</v>
      </c>
      <c r="X47" s="67">
        <v>0.22</v>
      </c>
      <c r="Y47" s="21"/>
      <c r="Z47" s="21"/>
      <c r="AA47" s="21"/>
      <c r="AB47" s="21"/>
      <c r="AC47" s="21"/>
      <c r="AD47" s="21"/>
      <c r="AE47" s="21"/>
    </row>
    <row r="48" spans="1:32" ht="15" customHeight="1">
      <c r="A48" s="15"/>
      <c r="B48" s="16" t="s">
        <v>23</v>
      </c>
      <c r="C48" s="17"/>
      <c r="D48" s="17"/>
      <c r="E48" s="27">
        <f>SUM(E44:E47)</f>
        <v>22.18</v>
      </c>
      <c r="F48" s="27">
        <f>SUM(F44:F47)</f>
        <v>19.36</v>
      </c>
      <c r="G48" s="27">
        <f aca="true" t="shared" si="8" ref="G48:T48">SUM(G44:G47)</f>
        <v>16.61</v>
      </c>
      <c r="H48" s="27">
        <f t="shared" si="8"/>
        <v>14.66</v>
      </c>
      <c r="I48" s="27">
        <f t="shared" si="8"/>
        <v>15.6</v>
      </c>
      <c r="J48" s="27">
        <f t="shared" si="8"/>
        <v>13.530000000000001</v>
      </c>
      <c r="K48" s="27">
        <f t="shared" si="8"/>
        <v>44.34</v>
      </c>
      <c r="L48" s="27">
        <f t="shared" si="8"/>
        <v>35.790000000000006</v>
      </c>
      <c r="M48" s="27">
        <f t="shared" si="8"/>
        <v>384.75</v>
      </c>
      <c r="N48" s="27">
        <f t="shared" si="8"/>
        <v>323.75</v>
      </c>
      <c r="O48" s="27">
        <f t="shared" si="8"/>
        <v>0.21200000000000002</v>
      </c>
      <c r="P48" s="27">
        <f t="shared" si="8"/>
        <v>0.16083333333333336</v>
      </c>
      <c r="Q48" s="27">
        <f t="shared" si="8"/>
        <v>0.464</v>
      </c>
      <c r="R48" s="27">
        <f t="shared" si="8"/>
        <v>0.395</v>
      </c>
      <c r="S48" s="27">
        <f t="shared" si="8"/>
        <v>2.21</v>
      </c>
      <c r="T48" s="27">
        <f t="shared" si="8"/>
        <v>1.7850000000000001</v>
      </c>
      <c r="U48" s="27">
        <f aca="true" t="shared" si="9" ref="U48:AB48">SUM(U44:U47)</f>
        <v>279.636</v>
      </c>
      <c r="V48" s="27">
        <f t="shared" si="9"/>
        <v>214.12</v>
      </c>
      <c r="W48" s="27">
        <f t="shared" si="9"/>
        <v>2.574</v>
      </c>
      <c r="X48" s="27">
        <f t="shared" si="9"/>
        <v>2.1550000000000002</v>
      </c>
      <c r="Y48" s="27">
        <f t="shared" si="9"/>
        <v>0</v>
      </c>
      <c r="Z48" s="27">
        <f t="shared" si="9"/>
        <v>0</v>
      </c>
      <c r="AA48" s="27">
        <f t="shared" si="9"/>
        <v>0</v>
      </c>
      <c r="AB48" s="27">
        <f t="shared" si="9"/>
        <v>0</v>
      </c>
      <c r="AC48" s="72"/>
      <c r="AD48" s="21"/>
      <c r="AE48" s="21"/>
      <c r="AF48" s="21"/>
    </row>
    <row r="49" spans="1:32" ht="15" customHeight="1">
      <c r="A49" s="15"/>
      <c r="B49" s="87" t="s">
        <v>41</v>
      </c>
      <c r="C49" s="17"/>
      <c r="D49" s="17"/>
      <c r="E49" s="18"/>
      <c r="F49" s="18"/>
      <c r="G49" s="18"/>
      <c r="H49" s="19"/>
      <c r="I49" s="19"/>
      <c r="J49" s="19"/>
      <c r="K49" s="19"/>
      <c r="L49" s="19"/>
      <c r="M49" s="19"/>
      <c r="N49" s="19"/>
      <c r="O49" s="28"/>
      <c r="P49" s="28"/>
      <c r="Q49" s="28"/>
      <c r="R49" s="28"/>
      <c r="S49" s="28"/>
      <c r="T49" s="28"/>
      <c r="U49" s="28"/>
      <c r="V49" s="28"/>
      <c r="W49" s="28"/>
      <c r="X49" s="76"/>
      <c r="Y49" s="21"/>
      <c r="Z49" s="36"/>
      <c r="AA49" s="36"/>
      <c r="AB49" s="36"/>
      <c r="AC49" s="21"/>
      <c r="AD49" s="21"/>
      <c r="AE49" s="21"/>
      <c r="AF49" s="21"/>
    </row>
    <row r="50" spans="1:31" s="31" customFormat="1" ht="15" customHeight="1">
      <c r="A50" s="119" t="s">
        <v>25</v>
      </c>
      <c r="B50" s="16" t="s">
        <v>60</v>
      </c>
      <c r="C50" s="17" t="s">
        <v>22</v>
      </c>
      <c r="D50" s="17" t="s">
        <v>22</v>
      </c>
      <c r="E50" s="18">
        <v>4.05</v>
      </c>
      <c r="F50" s="18">
        <v>4.05</v>
      </c>
      <c r="G50" s="24">
        <v>0</v>
      </c>
      <c r="H50" s="25">
        <v>0</v>
      </c>
      <c r="I50" s="24">
        <f>J50*180/150</f>
        <v>0</v>
      </c>
      <c r="J50" s="25">
        <v>0</v>
      </c>
      <c r="K50" s="24">
        <v>9</v>
      </c>
      <c r="L50" s="25">
        <v>9</v>
      </c>
      <c r="M50" s="24">
        <v>36</v>
      </c>
      <c r="N50" s="25">
        <v>36</v>
      </c>
      <c r="O50" s="24">
        <f>P50*180/150</f>
        <v>0</v>
      </c>
      <c r="P50" s="25">
        <v>0</v>
      </c>
      <c r="Q50" s="24">
        <f>R50*180/150</f>
        <v>0.024</v>
      </c>
      <c r="R50" s="25">
        <v>0.02</v>
      </c>
      <c r="S50" s="24">
        <v>3</v>
      </c>
      <c r="T50" s="25">
        <v>3</v>
      </c>
      <c r="U50" s="24">
        <f>V50*180/150</f>
        <v>9.996</v>
      </c>
      <c r="V50" s="25">
        <v>8.33</v>
      </c>
      <c r="W50" s="24">
        <f>X50*180/150</f>
        <v>0.252</v>
      </c>
      <c r="X50" s="78">
        <v>0.21</v>
      </c>
      <c r="Y50" s="36"/>
      <c r="Z50" s="36"/>
      <c r="AA50" s="36"/>
      <c r="AB50" s="36"/>
      <c r="AC50" s="36"/>
      <c r="AD50" s="36"/>
      <c r="AE50" s="36"/>
    </row>
    <row r="51" spans="1:32" ht="15" customHeight="1">
      <c r="A51" s="15"/>
      <c r="B51" s="16" t="s">
        <v>23</v>
      </c>
      <c r="C51" s="17"/>
      <c r="D51" s="17"/>
      <c r="E51" s="27">
        <f>SUM(E50)</f>
        <v>4.05</v>
      </c>
      <c r="F51" s="27">
        <f>SUM(F50)</f>
        <v>4.05</v>
      </c>
      <c r="G51" s="27">
        <f aca="true" t="shared" si="10" ref="G51:T51">SUM(G50)</f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9</v>
      </c>
      <c r="L51" s="27">
        <f t="shared" si="10"/>
        <v>9</v>
      </c>
      <c r="M51" s="27">
        <f t="shared" si="10"/>
        <v>36</v>
      </c>
      <c r="N51" s="27">
        <f t="shared" si="10"/>
        <v>36</v>
      </c>
      <c r="O51" s="27">
        <f t="shared" si="10"/>
        <v>0</v>
      </c>
      <c r="P51" s="27">
        <f t="shared" si="10"/>
        <v>0</v>
      </c>
      <c r="Q51" s="27">
        <f t="shared" si="10"/>
        <v>0.024</v>
      </c>
      <c r="R51" s="27">
        <f t="shared" si="10"/>
        <v>0.02</v>
      </c>
      <c r="S51" s="27">
        <f t="shared" si="10"/>
        <v>3</v>
      </c>
      <c r="T51" s="27">
        <f t="shared" si="10"/>
        <v>3</v>
      </c>
      <c r="U51" s="27">
        <f aca="true" t="shared" si="11" ref="U51:AB51">SUM(U50)</f>
        <v>9.996</v>
      </c>
      <c r="V51" s="27">
        <f t="shared" si="11"/>
        <v>8.33</v>
      </c>
      <c r="W51" s="27">
        <f t="shared" si="11"/>
        <v>0.252</v>
      </c>
      <c r="X51" s="27">
        <f t="shared" si="11"/>
        <v>0.21</v>
      </c>
      <c r="Y51" s="27">
        <f t="shared" si="11"/>
        <v>0</v>
      </c>
      <c r="Z51" s="27">
        <f t="shared" si="11"/>
        <v>0</v>
      </c>
      <c r="AA51" s="27">
        <f t="shared" si="11"/>
        <v>0</v>
      </c>
      <c r="AB51" s="27">
        <f t="shared" si="11"/>
        <v>0</v>
      </c>
      <c r="AC51" s="72"/>
      <c r="AD51" s="21"/>
      <c r="AE51" s="21"/>
      <c r="AF51" s="21"/>
    </row>
    <row r="52" spans="1:32" ht="15" customHeight="1">
      <c r="A52" s="15"/>
      <c r="B52" s="87" t="s">
        <v>27</v>
      </c>
      <c r="C52" s="17"/>
      <c r="D52" s="17"/>
      <c r="E52" s="18"/>
      <c r="F52" s="18"/>
      <c r="G52" s="18"/>
      <c r="H52" s="19"/>
      <c r="I52" s="19"/>
      <c r="J52" s="19"/>
      <c r="K52" s="19"/>
      <c r="L52" s="19"/>
      <c r="M52" s="19"/>
      <c r="N52" s="19"/>
      <c r="O52" s="28"/>
      <c r="P52" s="28"/>
      <c r="Q52" s="28"/>
      <c r="R52" s="28"/>
      <c r="S52" s="28"/>
      <c r="T52" s="28"/>
      <c r="U52" s="28"/>
      <c r="V52" s="28"/>
      <c r="W52" s="28"/>
      <c r="X52" s="76"/>
      <c r="Y52" s="21"/>
      <c r="Z52" s="36"/>
      <c r="AA52" s="36"/>
      <c r="AB52" s="36"/>
      <c r="AC52" s="21"/>
      <c r="AD52" s="21"/>
      <c r="AE52" s="21"/>
      <c r="AF52" s="21"/>
    </row>
    <row r="53" spans="1:24" ht="15" customHeight="1">
      <c r="A53" s="123" t="s">
        <v>137</v>
      </c>
      <c r="B53" s="126" t="s">
        <v>138</v>
      </c>
      <c r="C53" s="17" t="s">
        <v>28</v>
      </c>
      <c r="D53" s="17" t="s">
        <v>103</v>
      </c>
      <c r="E53" s="18">
        <v>2.32</v>
      </c>
      <c r="F53" s="18">
        <v>1.93</v>
      </c>
      <c r="G53" s="18">
        <f>H53*60/50</f>
        <v>1.32</v>
      </c>
      <c r="H53" s="19">
        <v>1.1</v>
      </c>
      <c r="I53" s="18">
        <f>J53*60/50</f>
        <v>4.56</v>
      </c>
      <c r="J53" s="19">
        <v>3.8</v>
      </c>
      <c r="K53" s="18">
        <f>L53*60/50</f>
        <v>6.84</v>
      </c>
      <c r="L53" s="19">
        <v>5.7</v>
      </c>
      <c r="M53" s="18">
        <f>N53*60/50</f>
        <v>76.8</v>
      </c>
      <c r="N53" s="19">
        <v>64</v>
      </c>
      <c r="O53" s="18">
        <f>P53*60/45</f>
        <v>0.013333333333333332</v>
      </c>
      <c r="P53" s="25">
        <v>0.01</v>
      </c>
      <c r="Q53" s="18">
        <f>R53*60/45</f>
        <v>0.026666666666666665</v>
      </c>
      <c r="R53" s="25">
        <v>0.02</v>
      </c>
      <c r="S53" s="18">
        <f>T53*60/50</f>
        <v>7.68</v>
      </c>
      <c r="T53" s="19">
        <v>6.4</v>
      </c>
      <c r="U53" s="18">
        <f>V53*60/45</f>
        <v>22.733333333333334</v>
      </c>
      <c r="V53" s="25">
        <v>17.05</v>
      </c>
      <c r="W53" s="18">
        <f>X53*60/45</f>
        <v>0.8666666666666667</v>
      </c>
      <c r="X53" s="25">
        <v>0.65</v>
      </c>
    </row>
    <row r="54" spans="1:24" ht="25.5" customHeight="1">
      <c r="A54" s="125" t="s">
        <v>109</v>
      </c>
      <c r="B54" s="62" t="s">
        <v>124</v>
      </c>
      <c r="C54" s="58" t="s">
        <v>125</v>
      </c>
      <c r="D54" s="58" t="s">
        <v>126</v>
      </c>
      <c r="E54" s="59">
        <v>14.84</v>
      </c>
      <c r="F54" s="59">
        <v>13.98</v>
      </c>
      <c r="G54" s="61">
        <v>5.79</v>
      </c>
      <c r="H54" s="61">
        <v>5.35</v>
      </c>
      <c r="I54" s="61">
        <v>9.02</v>
      </c>
      <c r="J54" s="61">
        <v>8.14</v>
      </c>
      <c r="K54" s="61">
        <v>13.12</v>
      </c>
      <c r="L54" s="61">
        <v>7.76</v>
      </c>
      <c r="M54" s="61">
        <v>156.82</v>
      </c>
      <c r="N54" s="61">
        <v>125.7</v>
      </c>
      <c r="O54" s="61">
        <v>0.05</v>
      </c>
      <c r="P54" s="61">
        <f>O54*180/235</f>
        <v>0.03829787234042553</v>
      </c>
      <c r="Q54" s="61">
        <v>0.04</v>
      </c>
      <c r="R54" s="61">
        <f>Q54*180/235</f>
        <v>0.030638297872340427</v>
      </c>
      <c r="S54" s="61">
        <v>14.5</v>
      </c>
      <c r="T54" s="61">
        <v>11</v>
      </c>
      <c r="U54" s="61">
        <v>32.5</v>
      </c>
      <c r="V54" s="61">
        <f>U54*180/235</f>
        <v>24.893617021276597</v>
      </c>
      <c r="W54" s="61">
        <v>1.59</v>
      </c>
      <c r="X54" s="61">
        <f>W54*180/235</f>
        <v>1.2178723404255318</v>
      </c>
    </row>
    <row r="55" spans="1:31" ht="25.5" customHeight="1">
      <c r="A55" s="125" t="s">
        <v>128</v>
      </c>
      <c r="B55" s="62" t="s">
        <v>129</v>
      </c>
      <c r="C55" s="58" t="s">
        <v>130</v>
      </c>
      <c r="D55" s="58" t="s">
        <v>130</v>
      </c>
      <c r="E55" s="59">
        <v>16</v>
      </c>
      <c r="F55" s="59">
        <v>16</v>
      </c>
      <c r="G55" s="59">
        <v>16.7</v>
      </c>
      <c r="H55" s="59">
        <v>16.7</v>
      </c>
      <c r="I55" s="59">
        <v>4</v>
      </c>
      <c r="J55" s="59">
        <v>4</v>
      </c>
      <c r="K55" s="60">
        <v>3.01</v>
      </c>
      <c r="L55" s="59">
        <v>3.01</v>
      </c>
      <c r="M55" s="60">
        <v>115.12</v>
      </c>
      <c r="N55" s="59">
        <v>115.12</v>
      </c>
      <c r="O55" s="60">
        <v>0.07</v>
      </c>
      <c r="P55" s="59">
        <v>0.07</v>
      </c>
      <c r="Q55" s="60">
        <v>0.06</v>
      </c>
      <c r="R55" s="59">
        <v>0.06</v>
      </c>
      <c r="S55" s="60">
        <v>0.59</v>
      </c>
      <c r="T55" s="59">
        <v>0.59</v>
      </c>
      <c r="U55" s="60">
        <v>10.67</v>
      </c>
      <c r="V55" s="59">
        <v>10.67</v>
      </c>
      <c r="W55" s="60">
        <v>1.35</v>
      </c>
      <c r="X55" s="59">
        <v>1.35</v>
      </c>
      <c r="Z55" s="21"/>
      <c r="AA55" s="21"/>
      <c r="AB55" s="21"/>
      <c r="AC55" s="21"/>
      <c r="AD55" s="21"/>
      <c r="AE55" s="21"/>
    </row>
    <row r="56" spans="1:31" ht="15" customHeight="1">
      <c r="A56" s="119" t="s">
        <v>48</v>
      </c>
      <c r="B56" s="22" t="s">
        <v>49</v>
      </c>
      <c r="C56" s="17" t="s">
        <v>58</v>
      </c>
      <c r="D56" s="17" t="s">
        <v>82</v>
      </c>
      <c r="E56" s="39">
        <v>3.33</v>
      </c>
      <c r="F56" s="39">
        <v>2.56</v>
      </c>
      <c r="G56" s="19">
        <v>4.78</v>
      </c>
      <c r="H56" s="19">
        <v>3.82</v>
      </c>
      <c r="I56" s="19">
        <v>4.72</v>
      </c>
      <c r="J56" s="19">
        <v>3.39</v>
      </c>
      <c r="K56" s="19">
        <v>25.99</v>
      </c>
      <c r="L56" s="19">
        <v>20.79</v>
      </c>
      <c r="M56" s="19">
        <v>165.56</v>
      </c>
      <c r="N56" s="19">
        <v>129</v>
      </c>
      <c r="O56" s="24">
        <v>0.09</v>
      </c>
      <c r="P56" s="19">
        <f>O56/1.5</f>
        <v>0.06</v>
      </c>
      <c r="Q56" s="24">
        <v>0.06</v>
      </c>
      <c r="R56" s="19">
        <f>Q56/1.5</f>
        <v>0.04</v>
      </c>
      <c r="S56" s="24">
        <v>0</v>
      </c>
      <c r="T56" s="19">
        <f>S56/1.5</f>
        <v>0</v>
      </c>
      <c r="U56" s="24">
        <v>12.89</v>
      </c>
      <c r="V56" s="19">
        <f>U56/1.5</f>
        <v>8.593333333333334</v>
      </c>
      <c r="W56" s="24">
        <v>0.78</v>
      </c>
      <c r="X56" s="74">
        <f>W56/1.5</f>
        <v>0.52</v>
      </c>
      <c r="Y56" s="21"/>
      <c r="Z56" s="21"/>
      <c r="AA56" s="21"/>
      <c r="AB56" s="21"/>
      <c r="AC56" s="21"/>
      <c r="AD56" s="21"/>
      <c r="AE56" s="21"/>
    </row>
    <row r="57" spans="1:31" ht="27" customHeight="1">
      <c r="A57" s="118" t="s">
        <v>113</v>
      </c>
      <c r="B57" s="57" t="s">
        <v>127</v>
      </c>
      <c r="C57" s="58" t="s">
        <v>21</v>
      </c>
      <c r="D57" s="58" t="s">
        <v>22</v>
      </c>
      <c r="E57" s="59">
        <v>2.79</v>
      </c>
      <c r="F57" s="59">
        <v>2.09</v>
      </c>
      <c r="G57" s="61">
        <v>1.2</v>
      </c>
      <c r="H57" s="67">
        <v>0.9</v>
      </c>
      <c r="I57" s="61">
        <f>J57*200/150</f>
        <v>0</v>
      </c>
      <c r="J57" s="67">
        <v>0</v>
      </c>
      <c r="K57" s="61">
        <v>31.6</v>
      </c>
      <c r="L57" s="67">
        <v>23.7</v>
      </c>
      <c r="M57" s="61">
        <v>126</v>
      </c>
      <c r="N57" s="67">
        <v>94.5</v>
      </c>
      <c r="O57" s="60">
        <v>0.02</v>
      </c>
      <c r="P57" s="60">
        <f>O57*150/200</f>
        <v>0.015</v>
      </c>
      <c r="Q57" s="60">
        <v>0.01</v>
      </c>
      <c r="R57" s="60">
        <f>Q57*150/200</f>
        <v>0.0075</v>
      </c>
      <c r="S57" s="60">
        <v>0</v>
      </c>
      <c r="T57" s="19">
        <v>0</v>
      </c>
      <c r="U57" s="19">
        <v>12.3</v>
      </c>
      <c r="V57" s="19">
        <f>U57*150/200</f>
        <v>9.225</v>
      </c>
      <c r="W57" s="38">
        <v>2</v>
      </c>
      <c r="X57" s="74">
        <f>W57*150/200</f>
        <v>1.5</v>
      </c>
      <c r="Y57" s="21"/>
      <c r="Z57" s="21"/>
      <c r="AA57" s="21"/>
      <c r="AB57" s="21"/>
      <c r="AC57" s="21"/>
      <c r="AD57" s="21"/>
      <c r="AE57" s="21"/>
    </row>
    <row r="58" spans="1:31" s="66" customFormat="1" ht="15" customHeight="1">
      <c r="A58" s="118"/>
      <c r="B58" s="57" t="s">
        <v>30</v>
      </c>
      <c r="C58" s="58" t="s">
        <v>31</v>
      </c>
      <c r="D58" s="58" t="s">
        <v>31</v>
      </c>
      <c r="E58" s="59">
        <v>1.11</v>
      </c>
      <c r="F58" s="59">
        <v>1.11</v>
      </c>
      <c r="G58" s="59">
        <v>1.6</v>
      </c>
      <c r="H58" s="59">
        <v>1.6</v>
      </c>
      <c r="I58" s="59">
        <v>0.4</v>
      </c>
      <c r="J58" s="59">
        <v>0.4</v>
      </c>
      <c r="K58" s="59">
        <v>10</v>
      </c>
      <c r="L58" s="59">
        <v>10</v>
      </c>
      <c r="M58" s="60">
        <v>54</v>
      </c>
      <c r="N58" s="60">
        <v>54</v>
      </c>
      <c r="O58" s="63">
        <v>0.04</v>
      </c>
      <c r="P58" s="64">
        <v>0.04</v>
      </c>
      <c r="Q58" s="63">
        <v>0.02</v>
      </c>
      <c r="R58" s="64">
        <v>0.02</v>
      </c>
      <c r="S58" s="63">
        <v>0</v>
      </c>
      <c r="T58" s="64">
        <v>0</v>
      </c>
      <c r="U58" s="63">
        <v>7.4</v>
      </c>
      <c r="V58" s="64">
        <v>7.4</v>
      </c>
      <c r="W58" s="63">
        <v>0.56</v>
      </c>
      <c r="X58" s="64">
        <v>0.56</v>
      </c>
      <c r="Y58" s="65"/>
      <c r="Z58" s="65"/>
      <c r="AA58" s="65"/>
      <c r="AB58" s="65"/>
      <c r="AC58" s="65"/>
      <c r="AD58" s="65"/>
      <c r="AE58" s="65"/>
    </row>
    <row r="59" spans="1:31" ht="15" customHeight="1">
      <c r="A59" s="118"/>
      <c r="B59" s="57" t="s">
        <v>32</v>
      </c>
      <c r="C59" s="58" t="s">
        <v>78</v>
      </c>
      <c r="D59" s="58" t="s">
        <v>79</v>
      </c>
      <c r="E59" s="59">
        <v>2.09</v>
      </c>
      <c r="F59" s="59">
        <v>1.83</v>
      </c>
      <c r="G59" s="59">
        <v>3.25</v>
      </c>
      <c r="H59" s="60">
        <v>2.84</v>
      </c>
      <c r="I59" s="60">
        <v>0.46</v>
      </c>
      <c r="J59" s="60">
        <f>I59*40.6/46</f>
        <v>0.406</v>
      </c>
      <c r="K59" s="60">
        <v>20.88</v>
      </c>
      <c r="L59" s="60">
        <v>18.27</v>
      </c>
      <c r="M59" s="60">
        <v>102.08</v>
      </c>
      <c r="N59" s="60">
        <v>89.32</v>
      </c>
      <c r="O59" s="61">
        <v>0.06</v>
      </c>
      <c r="P59" s="67">
        <v>0.04</v>
      </c>
      <c r="Q59" s="61">
        <v>0.04</v>
      </c>
      <c r="R59" s="67">
        <v>0.03</v>
      </c>
      <c r="S59" s="61">
        <v>0</v>
      </c>
      <c r="T59" s="60">
        <f>S59*40.6/46</f>
        <v>0</v>
      </c>
      <c r="U59" s="63">
        <v>17</v>
      </c>
      <c r="V59" s="64">
        <v>13.6</v>
      </c>
      <c r="W59" s="63">
        <v>1.15</v>
      </c>
      <c r="X59" s="64">
        <v>0.92</v>
      </c>
      <c r="Y59" s="21"/>
      <c r="Z59" s="21"/>
      <c r="AA59" s="21"/>
      <c r="AB59" s="21"/>
      <c r="AC59" s="21"/>
      <c r="AD59" s="21"/>
      <c r="AE59" s="21"/>
    </row>
    <row r="60" spans="1:32" ht="15" customHeight="1">
      <c r="A60" s="15"/>
      <c r="B60" s="16" t="s">
        <v>23</v>
      </c>
      <c r="C60" s="17"/>
      <c r="D60" s="17"/>
      <c r="E60" s="27">
        <f>SUM(E53:E59)</f>
        <v>42.47999999999999</v>
      </c>
      <c r="F60" s="27">
        <f>SUM(F53:F59)</f>
        <v>39.5</v>
      </c>
      <c r="G60" s="27">
        <f>SUM(G53:G59)-8</f>
        <v>26.64</v>
      </c>
      <c r="H60" s="27">
        <f>SUM(H53:H59)-8</f>
        <v>24.310000000000002</v>
      </c>
      <c r="I60" s="27">
        <f>SUM(I53:I59)</f>
        <v>23.159999999999997</v>
      </c>
      <c r="J60" s="27">
        <f>SUM(J53:J59)</f>
        <v>20.136</v>
      </c>
      <c r="K60" s="27">
        <f>SUM(K53:K59)+2</f>
        <v>113.44</v>
      </c>
      <c r="L60" s="27">
        <f>SUM(L53:L59)+0</f>
        <v>89.22999999999999</v>
      </c>
      <c r="M60" s="27">
        <f>SUM(M53:M59)-0</f>
        <v>796.38</v>
      </c>
      <c r="N60" s="27">
        <f>SUM(N53:N59)-18</f>
        <v>653.6399999999999</v>
      </c>
      <c r="O60" s="27">
        <f>SUM(O53:O59)</f>
        <v>0.3433333333333333</v>
      </c>
      <c r="P60" s="27">
        <f>SUM(P53:P59)</f>
        <v>0.2732978723404256</v>
      </c>
      <c r="Q60" s="27">
        <f>SUM(Q53:Q59)</f>
        <v>0.25666666666666665</v>
      </c>
      <c r="R60" s="27">
        <f>SUM(R53:R59)</f>
        <v>0.20813829787234042</v>
      </c>
      <c r="S60" s="27">
        <f>SUM(S53:S59)-2</f>
        <v>20.77</v>
      </c>
      <c r="T60" s="27">
        <f>SUM(T53:T59)-0</f>
        <v>17.99</v>
      </c>
      <c r="U60" s="27">
        <f aca="true" t="shared" si="12" ref="U60:AB60">SUM(U53:U59)</f>
        <v>115.49333333333334</v>
      </c>
      <c r="V60" s="27">
        <f t="shared" si="12"/>
        <v>91.43195035460992</v>
      </c>
      <c r="W60" s="27">
        <f t="shared" si="12"/>
        <v>8.296666666666667</v>
      </c>
      <c r="X60" s="27">
        <f t="shared" si="12"/>
        <v>6.717872340425533</v>
      </c>
      <c r="Y60" s="27">
        <f t="shared" si="12"/>
        <v>0</v>
      </c>
      <c r="Z60" s="27">
        <f t="shared" si="12"/>
        <v>0</v>
      </c>
      <c r="AA60" s="27">
        <f t="shared" si="12"/>
        <v>0</v>
      </c>
      <c r="AB60" s="27">
        <f t="shared" si="12"/>
        <v>0</v>
      </c>
      <c r="AC60" s="72"/>
      <c r="AD60" s="72"/>
      <c r="AE60" s="21"/>
      <c r="AF60" s="21"/>
    </row>
    <row r="61" spans="1:32" ht="15" customHeight="1">
      <c r="A61" s="15"/>
      <c r="B61" s="87" t="s">
        <v>42</v>
      </c>
      <c r="C61" s="17"/>
      <c r="D61" s="17"/>
      <c r="E61" s="18"/>
      <c r="F61" s="18"/>
      <c r="G61" s="18"/>
      <c r="H61" s="19"/>
      <c r="I61" s="19"/>
      <c r="J61" s="19"/>
      <c r="K61" s="19"/>
      <c r="L61" s="19"/>
      <c r="M61" s="19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76"/>
      <c r="Y61" s="21"/>
      <c r="Z61" s="36"/>
      <c r="AA61" s="36"/>
      <c r="AB61" s="36"/>
      <c r="AC61" s="21"/>
      <c r="AD61" s="21"/>
      <c r="AE61" s="21"/>
      <c r="AF61" s="21"/>
    </row>
    <row r="62" spans="1:31" ht="15" customHeight="1">
      <c r="A62" s="118" t="s">
        <v>34</v>
      </c>
      <c r="B62" s="57" t="s">
        <v>35</v>
      </c>
      <c r="C62" s="58" t="s">
        <v>26</v>
      </c>
      <c r="D62" s="58" t="s">
        <v>26</v>
      </c>
      <c r="E62" s="59">
        <v>10.36</v>
      </c>
      <c r="F62" s="59">
        <v>10.36</v>
      </c>
      <c r="G62" s="59">
        <v>5.31</v>
      </c>
      <c r="H62" s="60">
        <v>5.31</v>
      </c>
      <c r="I62" s="59">
        <v>4.5</v>
      </c>
      <c r="J62" s="60">
        <v>4.5</v>
      </c>
      <c r="K62" s="59">
        <v>8.91</v>
      </c>
      <c r="L62" s="60">
        <v>8.91</v>
      </c>
      <c r="M62" s="59">
        <v>97.38</v>
      </c>
      <c r="N62" s="60">
        <v>97.38</v>
      </c>
      <c r="O62" s="59">
        <v>0.07</v>
      </c>
      <c r="P62" s="60">
        <v>0.07</v>
      </c>
      <c r="Q62" s="59">
        <v>0.3</v>
      </c>
      <c r="R62" s="60">
        <v>0.3</v>
      </c>
      <c r="S62" s="59">
        <v>2.46</v>
      </c>
      <c r="T62" s="60">
        <v>2.46</v>
      </c>
      <c r="U62" s="59">
        <v>275.74</v>
      </c>
      <c r="V62" s="60">
        <v>275.74</v>
      </c>
      <c r="W62" s="59">
        <v>0.23</v>
      </c>
      <c r="X62" s="60">
        <v>0.23</v>
      </c>
      <c r="Y62" s="36"/>
      <c r="Z62" s="36"/>
      <c r="AA62" s="36"/>
      <c r="AB62" s="36"/>
      <c r="AC62" s="36"/>
      <c r="AD62" s="36"/>
      <c r="AE62" s="21"/>
    </row>
    <row r="63" spans="1:32" ht="15" customHeight="1">
      <c r="A63" s="15"/>
      <c r="B63" s="16" t="s">
        <v>23</v>
      </c>
      <c r="C63" s="17"/>
      <c r="D63" s="17"/>
      <c r="E63" s="27">
        <f>SUM(E62)</f>
        <v>10.36</v>
      </c>
      <c r="F63" s="27">
        <f>SUM(F62)</f>
        <v>10.36</v>
      </c>
      <c r="G63" s="27">
        <f aca="true" t="shared" si="13" ref="G63:T63">SUM(G62)</f>
        <v>5.31</v>
      </c>
      <c r="H63" s="27">
        <f t="shared" si="13"/>
        <v>5.31</v>
      </c>
      <c r="I63" s="27">
        <f t="shared" si="13"/>
        <v>4.5</v>
      </c>
      <c r="J63" s="27">
        <f t="shared" si="13"/>
        <v>4.5</v>
      </c>
      <c r="K63" s="27">
        <f t="shared" si="13"/>
        <v>8.91</v>
      </c>
      <c r="L63" s="27">
        <f t="shared" si="13"/>
        <v>8.91</v>
      </c>
      <c r="M63" s="27">
        <f t="shared" si="13"/>
        <v>97.38</v>
      </c>
      <c r="N63" s="27">
        <f t="shared" si="13"/>
        <v>97.38</v>
      </c>
      <c r="O63" s="27">
        <f t="shared" si="13"/>
        <v>0.07</v>
      </c>
      <c r="P63" s="27">
        <f t="shared" si="13"/>
        <v>0.07</v>
      </c>
      <c r="Q63" s="27">
        <f t="shared" si="13"/>
        <v>0.3</v>
      </c>
      <c r="R63" s="27">
        <f t="shared" si="13"/>
        <v>0.3</v>
      </c>
      <c r="S63" s="27">
        <f t="shared" si="13"/>
        <v>2.46</v>
      </c>
      <c r="T63" s="27">
        <f t="shared" si="13"/>
        <v>2.46</v>
      </c>
      <c r="U63" s="27">
        <f>SUM(U62)</f>
        <v>275.74</v>
      </c>
      <c r="V63" s="27">
        <f>SUM(V62)</f>
        <v>275.74</v>
      </c>
      <c r="W63" s="27">
        <f>SUM(W62)</f>
        <v>0.23</v>
      </c>
      <c r="X63" s="75">
        <f>SUM(X62)</f>
        <v>0.23</v>
      </c>
      <c r="Y63" s="72"/>
      <c r="Z63" s="72"/>
      <c r="AA63" s="72"/>
      <c r="AB63" s="72"/>
      <c r="AC63" s="72"/>
      <c r="AD63" s="72"/>
      <c r="AE63" s="21"/>
      <c r="AF63" s="21"/>
    </row>
    <row r="64" spans="1:32" ht="15" customHeight="1">
      <c r="A64" s="15"/>
      <c r="B64" s="87" t="s">
        <v>36</v>
      </c>
      <c r="C64" s="17"/>
      <c r="D64" s="17"/>
      <c r="E64" s="18"/>
      <c r="F64" s="18"/>
      <c r="G64" s="18"/>
      <c r="H64" s="19"/>
      <c r="I64" s="19"/>
      <c r="J64" s="19"/>
      <c r="K64" s="19"/>
      <c r="L64" s="19"/>
      <c r="M64" s="19"/>
      <c r="N64" s="19"/>
      <c r="O64" s="28"/>
      <c r="P64" s="28"/>
      <c r="Q64" s="28"/>
      <c r="R64" s="28"/>
      <c r="S64" s="28"/>
      <c r="T64" s="28"/>
      <c r="U64" s="28"/>
      <c r="V64" s="28"/>
      <c r="W64" s="28"/>
      <c r="X64" s="76"/>
      <c r="Y64" s="21"/>
      <c r="Z64" s="36"/>
      <c r="AA64" s="36"/>
      <c r="AB64" s="36"/>
      <c r="AC64" s="21"/>
      <c r="AD64" s="21"/>
      <c r="AE64" s="21"/>
      <c r="AF64" s="21"/>
    </row>
    <row r="65" spans="1:31" ht="26.25" customHeight="1">
      <c r="A65" s="127" t="s">
        <v>139</v>
      </c>
      <c r="B65" s="57" t="s">
        <v>140</v>
      </c>
      <c r="C65" s="58" t="s">
        <v>141</v>
      </c>
      <c r="D65" s="58" t="s">
        <v>64</v>
      </c>
      <c r="E65" s="59">
        <v>49.32</v>
      </c>
      <c r="F65" s="59">
        <v>33.83</v>
      </c>
      <c r="G65" s="59">
        <f>H65*150/100</f>
        <v>22.89</v>
      </c>
      <c r="H65" s="60">
        <v>15.26</v>
      </c>
      <c r="I65" s="59">
        <f>J65*150/100</f>
        <v>15.570000000000002</v>
      </c>
      <c r="J65" s="60">
        <v>10.38</v>
      </c>
      <c r="K65" s="59">
        <f>L65*150/100</f>
        <v>41.055</v>
      </c>
      <c r="L65" s="60">
        <v>27.37</v>
      </c>
      <c r="M65" s="59">
        <f>N65*150/100</f>
        <v>396</v>
      </c>
      <c r="N65" s="60">
        <v>264</v>
      </c>
      <c r="O65" s="59">
        <f>P65*150/100</f>
        <v>0.10500000000000002</v>
      </c>
      <c r="P65" s="60">
        <v>0.07</v>
      </c>
      <c r="Q65" s="59">
        <f>R65*150/100</f>
        <v>0.435</v>
      </c>
      <c r="R65" s="60">
        <v>0.29</v>
      </c>
      <c r="S65" s="59">
        <f>T65*150/100</f>
        <v>0.765</v>
      </c>
      <c r="T65" s="60">
        <v>0.51</v>
      </c>
      <c r="U65" s="59">
        <f>V65*150/100</f>
        <v>211.92</v>
      </c>
      <c r="V65" s="60">
        <v>141.28</v>
      </c>
      <c r="W65" s="59">
        <f>X65*150/100</f>
        <v>1.425</v>
      </c>
      <c r="X65" s="60">
        <v>0.95</v>
      </c>
      <c r="Y65" s="31"/>
      <c r="Z65" s="36"/>
      <c r="AA65" s="36"/>
      <c r="AB65" s="36"/>
      <c r="AC65" s="36"/>
      <c r="AD65" s="21"/>
      <c r="AE65" s="21"/>
    </row>
    <row r="66" spans="1:31" ht="15" customHeight="1">
      <c r="A66" s="119" t="s">
        <v>90</v>
      </c>
      <c r="B66" s="22" t="s">
        <v>91</v>
      </c>
      <c r="C66" s="17" t="s">
        <v>21</v>
      </c>
      <c r="D66" s="17" t="s">
        <v>22</v>
      </c>
      <c r="E66" s="18">
        <v>0.51</v>
      </c>
      <c r="F66" s="18">
        <v>0.38</v>
      </c>
      <c r="G66" s="18">
        <v>0.18</v>
      </c>
      <c r="H66" s="19">
        <v>0.13</v>
      </c>
      <c r="I66" s="18">
        <f>J66*200/150</f>
        <v>0</v>
      </c>
      <c r="J66" s="19">
        <v>0</v>
      </c>
      <c r="K66" s="18">
        <v>4.78</v>
      </c>
      <c r="L66" s="19">
        <v>3.58</v>
      </c>
      <c r="M66" s="18">
        <v>19.9</v>
      </c>
      <c r="N66" s="19">
        <v>14.92</v>
      </c>
      <c r="O66" s="18">
        <f>P66*200/150</f>
        <v>0.013333333333333334</v>
      </c>
      <c r="P66" s="28">
        <v>0.01</v>
      </c>
      <c r="Q66" s="18">
        <f>R66*200/150</f>
        <v>0.013333333333333334</v>
      </c>
      <c r="R66" s="28">
        <v>0.01</v>
      </c>
      <c r="S66" s="18">
        <v>0.04</v>
      </c>
      <c r="T66" s="28">
        <v>0.03</v>
      </c>
      <c r="U66" s="18">
        <f>V66*200/150</f>
        <v>5.053333333333334</v>
      </c>
      <c r="V66" s="28">
        <v>3.79</v>
      </c>
      <c r="W66" s="18">
        <f>X66*200/150</f>
        <v>0.84</v>
      </c>
      <c r="X66" s="76">
        <v>0.63</v>
      </c>
      <c r="Y66" s="21"/>
      <c r="Z66" s="21"/>
      <c r="AA66" s="21"/>
      <c r="AB66" s="21"/>
      <c r="AC66" s="21"/>
      <c r="AD66" s="21"/>
      <c r="AE66" s="21"/>
    </row>
    <row r="67" spans="1:31" s="66" customFormat="1" ht="15" customHeight="1">
      <c r="A67" s="118"/>
      <c r="B67" s="57" t="s">
        <v>30</v>
      </c>
      <c r="C67" s="58" t="s">
        <v>31</v>
      </c>
      <c r="D67" s="58" t="s">
        <v>31</v>
      </c>
      <c r="E67" s="59">
        <v>1.11</v>
      </c>
      <c r="F67" s="59">
        <v>1.11</v>
      </c>
      <c r="G67" s="59">
        <v>1.6</v>
      </c>
      <c r="H67" s="59">
        <v>1.6</v>
      </c>
      <c r="I67" s="59">
        <v>0.4</v>
      </c>
      <c r="J67" s="59">
        <v>0.4</v>
      </c>
      <c r="K67" s="59">
        <v>10</v>
      </c>
      <c r="L67" s="59">
        <v>10</v>
      </c>
      <c r="M67" s="60">
        <v>54</v>
      </c>
      <c r="N67" s="60">
        <v>54</v>
      </c>
      <c r="O67" s="63">
        <v>0.04</v>
      </c>
      <c r="P67" s="64">
        <v>0.04</v>
      </c>
      <c r="Q67" s="63">
        <v>0.02</v>
      </c>
      <c r="R67" s="64">
        <v>0.02</v>
      </c>
      <c r="S67" s="63">
        <v>0</v>
      </c>
      <c r="T67" s="64">
        <v>0</v>
      </c>
      <c r="U67" s="63">
        <v>7.4</v>
      </c>
      <c r="V67" s="64">
        <v>7.4</v>
      </c>
      <c r="W67" s="63">
        <v>0.56</v>
      </c>
      <c r="X67" s="64">
        <v>0.56</v>
      </c>
      <c r="Y67" s="65"/>
      <c r="Z67" s="65"/>
      <c r="AA67" s="65"/>
      <c r="AB67" s="65"/>
      <c r="AC67" s="65"/>
      <c r="AD67" s="65"/>
      <c r="AE67" s="65"/>
    </row>
    <row r="68" spans="1:32" ht="15" customHeight="1">
      <c r="A68" s="15"/>
      <c r="B68" s="16" t="s">
        <v>23</v>
      </c>
      <c r="C68" s="17"/>
      <c r="D68" s="17"/>
      <c r="E68" s="27">
        <f>SUM(E65:E67)</f>
        <v>50.94</v>
      </c>
      <c r="F68" s="27">
        <f>SUM(F65:F67)</f>
        <v>35.32</v>
      </c>
      <c r="G68" s="27">
        <f aca="true" t="shared" si="14" ref="G68:T68">SUM(G65:G67)</f>
        <v>24.67</v>
      </c>
      <c r="H68" s="27">
        <f t="shared" si="14"/>
        <v>16.990000000000002</v>
      </c>
      <c r="I68" s="27">
        <f t="shared" si="14"/>
        <v>15.970000000000002</v>
      </c>
      <c r="J68" s="27">
        <f t="shared" si="14"/>
        <v>10.780000000000001</v>
      </c>
      <c r="K68" s="27">
        <f t="shared" si="14"/>
        <v>55.835</v>
      </c>
      <c r="L68" s="27">
        <f t="shared" si="14"/>
        <v>40.95</v>
      </c>
      <c r="M68" s="27">
        <f t="shared" si="14"/>
        <v>469.9</v>
      </c>
      <c r="N68" s="27">
        <f t="shared" si="14"/>
        <v>332.92</v>
      </c>
      <c r="O68" s="27">
        <f t="shared" si="14"/>
        <v>0.15833333333333335</v>
      </c>
      <c r="P68" s="27">
        <f t="shared" si="14"/>
        <v>0.12</v>
      </c>
      <c r="Q68" s="27">
        <f t="shared" si="14"/>
        <v>0.4683333333333333</v>
      </c>
      <c r="R68" s="27">
        <f t="shared" si="14"/>
        <v>0.32</v>
      </c>
      <c r="S68" s="27">
        <f t="shared" si="14"/>
        <v>0.805</v>
      </c>
      <c r="T68" s="27">
        <f t="shared" si="14"/>
        <v>0.54</v>
      </c>
      <c r="U68" s="27">
        <f aca="true" t="shared" si="15" ref="U68:AB68">SUM(U65:U67)</f>
        <v>224.37333333333333</v>
      </c>
      <c r="V68" s="27">
        <f t="shared" si="15"/>
        <v>152.47</v>
      </c>
      <c r="W68" s="27">
        <f t="shared" si="15"/>
        <v>2.825</v>
      </c>
      <c r="X68" s="27">
        <f t="shared" si="15"/>
        <v>2.14</v>
      </c>
      <c r="Y68" s="27">
        <f t="shared" si="15"/>
        <v>0</v>
      </c>
      <c r="Z68" s="27">
        <f t="shared" si="15"/>
        <v>0</v>
      </c>
      <c r="AA68" s="27">
        <f t="shared" si="15"/>
        <v>0</v>
      </c>
      <c r="AB68" s="27">
        <f t="shared" si="15"/>
        <v>0</v>
      </c>
      <c r="AC68" s="72"/>
      <c r="AD68" s="21"/>
      <c r="AE68" s="21"/>
      <c r="AF68" s="21"/>
    </row>
    <row r="69" spans="1:32" ht="15" customHeight="1">
      <c r="A69" s="15"/>
      <c r="B69" s="16" t="s">
        <v>37</v>
      </c>
      <c r="C69" s="17"/>
      <c r="D69" s="17"/>
      <c r="E69" s="27">
        <f>E68+E63+E60+E51+E48</f>
        <v>130.01</v>
      </c>
      <c r="F69" s="27">
        <f>F68+F63+F60+F51+F48</f>
        <v>108.59</v>
      </c>
      <c r="G69" s="27">
        <f aca="true" t="shared" si="16" ref="G69:S69">G68+G63+G60+G51+G48</f>
        <v>73.23</v>
      </c>
      <c r="H69" s="27">
        <f t="shared" si="16"/>
        <v>61.269999999999996</v>
      </c>
      <c r="I69" s="27">
        <f t="shared" si="16"/>
        <v>59.23</v>
      </c>
      <c r="J69" s="27">
        <f t="shared" si="16"/>
        <v>48.946</v>
      </c>
      <c r="K69" s="27">
        <f t="shared" si="16"/>
        <v>231.525</v>
      </c>
      <c r="L69" s="27">
        <f t="shared" si="16"/>
        <v>183.88</v>
      </c>
      <c r="M69" s="27">
        <f t="shared" si="16"/>
        <v>1784.4099999999999</v>
      </c>
      <c r="N69" s="27">
        <f t="shared" si="16"/>
        <v>1443.6899999999998</v>
      </c>
      <c r="O69" s="27">
        <f t="shared" si="16"/>
        <v>0.7836666666666667</v>
      </c>
      <c r="P69" s="27">
        <f t="shared" si="16"/>
        <v>0.6241312056737589</v>
      </c>
      <c r="Q69" s="27">
        <f t="shared" si="16"/>
        <v>1.513</v>
      </c>
      <c r="R69" s="27">
        <f t="shared" si="16"/>
        <v>1.2431382978723404</v>
      </c>
      <c r="S69" s="27">
        <f t="shared" si="16"/>
        <v>29.245</v>
      </c>
      <c r="T69" s="27">
        <f>T68+T63+T60+T51+T48</f>
        <v>25.775</v>
      </c>
      <c r="U69" s="27">
        <f>U68+U63+U60+U51+U48</f>
        <v>905.2386666666666</v>
      </c>
      <c r="V69" s="27">
        <f>V68+V63+V60+V51+V48</f>
        <v>742.09195035461</v>
      </c>
      <c r="W69" s="27">
        <f>W68+W63+W60+W51+W48</f>
        <v>14.177666666666667</v>
      </c>
      <c r="X69" s="75">
        <f>X68+X63+X60+X51+X48</f>
        <v>11.452872340425536</v>
      </c>
      <c r="Y69" s="72"/>
      <c r="Z69" s="72"/>
      <c r="AA69" s="72"/>
      <c r="AB69" s="72"/>
      <c r="AC69" s="72"/>
      <c r="AD69" s="21"/>
      <c r="AE69" s="21"/>
      <c r="AF69" s="21"/>
    </row>
    <row r="70" spans="1:32" ht="15" customHeight="1">
      <c r="A70" s="15"/>
      <c r="B70" s="85" t="s">
        <v>134</v>
      </c>
      <c r="C70" s="17"/>
      <c r="D70" s="17"/>
      <c r="E70" s="27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76"/>
      <c r="Y70" s="21"/>
      <c r="Z70" s="36"/>
      <c r="AA70" s="36"/>
      <c r="AB70" s="36"/>
      <c r="AC70" s="21"/>
      <c r="AD70" s="21"/>
      <c r="AE70" s="21"/>
      <c r="AF70" s="21"/>
    </row>
    <row r="71" spans="1:32" ht="15" customHeight="1">
      <c r="A71" s="15"/>
      <c r="B71" s="87" t="s">
        <v>17</v>
      </c>
      <c r="C71" s="17"/>
      <c r="D71" s="17"/>
      <c r="E71" s="18"/>
      <c r="F71" s="18"/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76"/>
      <c r="Y71" s="21"/>
      <c r="Z71" s="36"/>
      <c r="AA71" s="36"/>
      <c r="AB71" s="36"/>
      <c r="AC71" s="21"/>
      <c r="AD71" s="21"/>
      <c r="AE71" s="21"/>
      <c r="AF71" s="21"/>
    </row>
    <row r="72" spans="1:30" s="30" customFormat="1" ht="15" customHeight="1">
      <c r="A72" s="118" t="s">
        <v>38</v>
      </c>
      <c r="B72" s="57" t="s">
        <v>39</v>
      </c>
      <c r="C72" s="58" t="s">
        <v>86</v>
      </c>
      <c r="D72" s="58" t="s">
        <v>86</v>
      </c>
      <c r="E72" s="59">
        <v>4.03</v>
      </c>
      <c r="F72" s="59">
        <v>4.03</v>
      </c>
      <c r="G72" s="59">
        <v>1.63</v>
      </c>
      <c r="H72" s="60">
        <v>1.63</v>
      </c>
      <c r="I72" s="60">
        <v>4.7</v>
      </c>
      <c r="J72" s="60">
        <v>4.7</v>
      </c>
      <c r="K72" s="60">
        <v>10.4</v>
      </c>
      <c r="L72" s="60">
        <v>10.4</v>
      </c>
      <c r="M72" s="60">
        <v>90.42</v>
      </c>
      <c r="N72" s="60">
        <v>90.42</v>
      </c>
      <c r="O72" s="61">
        <v>0.08</v>
      </c>
      <c r="P72" s="67">
        <v>0.05</v>
      </c>
      <c r="Q72" s="61">
        <v>0.04</v>
      </c>
      <c r="R72" s="67">
        <v>0.02</v>
      </c>
      <c r="S72" s="61">
        <v>0</v>
      </c>
      <c r="T72" s="60">
        <f>S72*25/45</f>
        <v>0</v>
      </c>
      <c r="U72" s="63">
        <v>13.6</v>
      </c>
      <c r="V72" s="64">
        <v>8.6</v>
      </c>
      <c r="W72" s="63">
        <v>0.81</v>
      </c>
      <c r="X72" s="64">
        <v>0.49</v>
      </c>
      <c r="Y72" s="29"/>
      <c r="Z72" s="29"/>
      <c r="AA72" s="29"/>
      <c r="AB72" s="29"/>
      <c r="AC72" s="29"/>
      <c r="AD72" s="29"/>
    </row>
    <row r="73" spans="1:31" ht="24.75" customHeight="1">
      <c r="A73" s="119" t="s">
        <v>45</v>
      </c>
      <c r="B73" s="16" t="s">
        <v>104</v>
      </c>
      <c r="C73" s="70" t="s">
        <v>92</v>
      </c>
      <c r="D73" s="70" t="s">
        <v>93</v>
      </c>
      <c r="E73" s="33">
        <v>12.03</v>
      </c>
      <c r="F73" s="33">
        <v>9.4</v>
      </c>
      <c r="G73" s="33">
        <v>3.1</v>
      </c>
      <c r="H73" s="33">
        <v>2.4</v>
      </c>
      <c r="I73" s="33">
        <v>5</v>
      </c>
      <c r="J73" s="33">
        <v>3.8</v>
      </c>
      <c r="K73" s="33">
        <v>21.1</v>
      </c>
      <c r="L73" s="33">
        <v>16</v>
      </c>
      <c r="M73" s="33">
        <v>140</v>
      </c>
      <c r="N73" s="33">
        <v>107.8</v>
      </c>
      <c r="O73" s="113">
        <v>0.1</v>
      </c>
      <c r="P73" s="117">
        <f>O73*150/200</f>
        <v>0.075</v>
      </c>
      <c r="Q73" s="113">
        <v>0.25</v>
      </c>
      <c r="R73" s="117">
        <f>Q73*150/200</f>
        <v>0.1875</v>
      </c>
      <c r="S73" s="113">
        <v>0</v>
      </c>
      <c r="T73" s="33">
        <f>S73*153/203</f>
        <v>0</v>
      </c>
      <c r="U73" s="24">
        <v>175.2</v>
      </c>
      <c r="V73" s="19">
        <v>164.9</v>
      </c>
      <c r="W73" s="24">
        <v>0.9</v>
      </c>
      <c r="X73" s="74">
        <f>W73*150/200</f>
        <v>0.675</v>
      </c>
      <c r="Y73" s="21"/>
      <c r="Z73" s="21"/>
      <c r="AA73" s="21"/>
      <c r="AB73" s="21"/>
      <c r="AC73" s="21"/>
      <c r="AD73" s="21"/>
      <c r="AE73" s="21"/>
    </row>
    <row r="74" spans="1:31" ht="15" customHeight="1">
      <c r="A74" s="118" t="s">
        <v>46</v>
      </c>
      <c r="B74" s="57" t="s">
        <v>47</v>
      </c>
      <c r="C74" s="58" t="s">
        <v>26</v>
      </c>
      <c r="D74" s="58" t="s">
        <v>22</v>
      </c>
      <c r="E74" s="59">
        <v>6.86</v>
      </c>
      <c r="F74" s="59">
        <v>5.15</v>
      </c>
      <c r="G74" s="61">
        <v>2.95</v>
      </c>
      <c r="H74" s="61">
        <v>2.46</v>
      </c>
      <c r="I74" s="61">
        <v>3.24</v>
      </c>
      <c r="J74" s="61">
        <v>2.7</v>
      </c>
      <c r="K74" s="61">
        <v>22.82</v>
      </c>
      <c r="L74" s="61">
        <v>19.02</v>
      </c>
      <c r="M74" s="61">
        <v>132.26</v>
      </c>
      <c r="N74" s="60">
        <v>110.22</v>
      </c>
      <c r="O74" s="61">
        <f>P74*180/150</f>
        <v>0.024</v>
      </c>
      <c r="P74" s="67">
        <v>0.02</v>
      </c>
      <c r="Q74" s="61">
        <f>R74*180/150</f>
        <v>0.12</v>
      </c>
      <c r="R74" s="67">
        <v>0.1</v>
      </c>
      <c r="S74" s="61">
        <v>1.43</v>
      </c>
      <c r="T74" s="67">
        <v>1.2</v>
      </c>
      <c r="U74" s="61">
        <f>V74*180/150</f>
        <v>109.58399999999999</v>
      </c>
      <c r="V74" s="67">
        <v>91.32</v>
      </c>
      <c r="W74" s="61">
        <f>X74*180/150</f>
        <v>0.36</v>
      </c>
      <c r="X74" s="67">
        <v>0.3</v>
      </c>
      <c r="Y74" s="21"/>
      <c r="Z74" s="21"/>
      <c r="AA74" s="21"/>
      <c r="AB74" s="21"/>
      <c r="AC74" s="21"/>
      <c r="AD74" s="21"/>
      <c r="AE74" s="21"/>
    </row>
    <row r="75" spans="1:32" ht="15" customHeight="1">
      <c r="A75" s="15"/>
      <c r="B75" s="16" t="s">
        <v>23</v>
      </c>
      <c r="C75" s="17"/>
      <c r="D75" s="17"/>
      <c r="E75" s="27">
        <f>SUM(E72:E74)</f>
        <v>22.919999999999998</v>
      </c>
      <c r="F75" s="27">
        <f>SUM(F72:F74)</f>
        <v>18.58</v>
      </c>
      <c r="G75" s="27">
        <f aca="true" t="shared" si="17" ref="G75:T75">SUM(G72:G74)</f>
        <v>7.680000000000001</v>
      </c>
      <c r="H75" s="27">
        <f t="shared" si="17"/>
        <v>6.489999999999999</v>
      </c>
      <c r="I75" s="27">
        <f t="shared" si="17"/>
        <v>12.94</v>
      </c>
      <c r="J75" s="27">
        <f t="shared" si="17"/>
        <v>11.2</v>
      </c>
      <c r="K75" s="27">
        <f t="shared" si="17"/>
        <v>54.32</v>
      </c>
      <c r="L75" s="27">
        <f t="shared" si="17"/>
        <v>45.42</v>
      </c>
      <c r="M75" s="27">
        <f t="shared" si="17"/>
        <v>362.68</v>
      </c>
      <c r="N75" s="27">
        <f t="shared" si="17"/>
        <v>308.44</v>
      </c>
      <c r="O75" s="27">
        <f t="shared" si="17"/>
        <v>0.204</v>
      </c>
      <c r="P75" s="27">
        <f t="shared" si="17"/>
        <v>0.145</v>
      </c>
      <c r="Q75" s="27">
        <f t="shared" si="17"/>
        <v>0.41</v>
      </c>
      <c r="R75" s="27">
        <f t="shared" si="17"/>
        <v>0.3075</v>
      </c>
      <c r="S75" s="27">
        <f t="shared" si="17"/>
        <v>1.43</v>
      </c>
      <c r="T75" s="27">
        <f t="shared" si="17"/>
        <v>1.2</v>
      </c>
      <c r="U75" s="27">
        <f aca="true" t="shared" si="18" ref="U75:AB75">SUM(U72:U74)</f>
        <v>298.38399999999996</v>
      </c>
      <c r="V75" s="27">
        <f t="shared" si="18"/>
        <v>264.82</v>
      </c>
      <c r="W75" s="27">
        <f t="shared" si="18"/>
        <v>2.07</v>
      </c>
      <c r="X75" s="27">
        <f t="shared" si="18"/>
        <v>1.465</v>
      </c>
      <c r="Y75" s="27">
        <f t="shared" si="18"/>
        <v>0</v>
      </c>
      <c r="Z75" s="27">
        <f t="shared" si="18"/>
        <v>0</v>
      </c>
      <c r="AA75" s="27">
        <f t="shared" si="18"/>
        <v>0</v>
      </c>
      <c r="AB75" s="27">
        <f t="shared" si="18"/>
        <v>0</v>
      </c>
      <c r="AC75" s="72"/>
      <c r="AD75" s="72"/>
      <c r="AE75" s="72"/>
      <c r="AF75" s="21"/>
    </row>
    <row r="76" spans="1:32" ht="15" customHeight="1">
      <c r="A76" s="15"/>
      <c r="B76" s="87" t="s">
        <v>41</v>
      </c>
      <c r="C76" s="17"/>
      <c r="D76" s="17"/>
      <c r="E76" s="18"/>
      <c r="F76" s="18"/>
      <c r="G76" s="18"/>
      <c r="H76" s="19"/>
      <c r="I76" s="19"/>
      <c r="J76" s="19"/>
      <c r="K76" s="19"/>
      <c r="L76" s="19"/>
      <c r="M76" s="19"/>
      <c r="N76" s="19"/>
      <c r="O76" s="28"/>
      <c r="P76" s="28"/>
      <c r="Q76" s="28"/>
      <c r="R76" s="28"/>
      <c r="S76" s="28"/>
      <c r="T76" s="28"/>
      <c r="U76" s="28"/>
      <c r="V76" s="28"/>
      <c r="W76" s="28"/>
      <c r="X76" s="76"/>
      <c r="Y76" s="21"/>
      <c r="Z76" s="36"/>
      <c r="AA76" s="36"/>
      <c r="AB76" s="36"/>
      <c r="AC76" s="21"/>
      <c r="AD76" s="21"/>
      <c r="AE76" s="21"/>
      <c r="AF76" s="21"/>
    </row>
    <row r="77" spans="1:30" ht="15" customHeight="1">
      <c r="A77" s="119" t="s">
        <v>43</v>
      </c>
      <c r="B77" s="16" t="s">
        <v>72</v>
      </c>
      <c r="C77" s="17" t="s">
        <v>148</v>
      </c>
      <c r="D77" s="17" t="s">
        <v>151</v>
      </c>
      <c r="E77" s="18">
        <v>13.59</v>
      </c>
      <c r="F77" s="18">
        <v>11.12</v>
      </c>
      <c r="G77" s="24">
        <f>H77*165/135</f>
        <v>4.95</v>
      </c>
      <c r="H77" s="24">
        <v>4.05</v>
      </c>
      <c r="I77" s="24">
        <f>J77*165/135</f>
        <v>4.13111111111111</v>
      </c>
      <c r="J77" s="24">
        <v>3.38</v>
      </c>
      <c r="K77" s="24">
        <f>L77*165/135</f>
        <v>6.6000000000000005</v>
      </c>
      <c r="L77" s="24">
        <v>5.4</v>
      </c>
      <c r="M77" s="24">
        <f>N77*165/135</f>
        <v>83.33111111111111</v>
      </c>
      <c r="N77" s="24">
        <v>68.18</v>
      </c>
      <c r="O77" s="24">
        <f>P77*180/150</f>
        <v>0.06</v>
      </c>
      <c r="P77" s="24">
        <v>0.05</v>
      </c>
      <c r="Q77" s="24">
        <f>R77*180/150</f>
        <v>0.31200000000000006</v>
      </c>
      <c r="R77" s="24">
        <v>0.26</v>
      </c>
      <c r="S77" s="24">
        <f>T77*165/135</f>
        <v>1.2222222222222223</v>
      </c>
      <c r="T77" s="24">
        <v>1</v>
      </c>
      <c r="U77" s="59">
        <v>235.31</v>
      </c>
      <c r="V77" s="60">
        <f>U77*150/180</f>
        <v>196.09166666666667</v>
      </c>
      <c r="W77" s="59">
        <v>0.19</v>
      </c>
      <c r="X77" s="81">
        <f>W77*150/180</f>
        <v>0.15833333333333333</v>
      </c>
      <c r="Y77" s="79"/>
      <c r="Z77" s="36"/>
      <c r="AA77" s="36"/>
      <c r="AB77" s="36"/>
      <c r="AC77" s="36"/>
      <c r="AD77" s="36"/>
    </row>
    <row r="78" spans="1:32" ht="15" customHeight="1">
      <c r="A78" s="15"/>
      <c r="B78" s="16" t="s">
        <v>23</v>
      </c>
      <c r="C78" s="17"/>
      <c r="D78" s="17"/>
      <c r="E78" s="27">
        <f>SUM(E77)</f>
        <v>13.59</v>
      </c>
      <c r="F78" s="27">
        <f>SUM(F77)</f>
        <v>11.12</v>
      </c>
      <c r="G78" s="27">
        <f aca="true" t="shared" si="19" ref="G78:T78">SUM(G77)</f>
        <v>4.95</v>
      </c>
      <c r="H78" s="27">
        <f t="shared" si="19"/>
        <v>4.05</v>
      </c>
      <c r="I78" s="27">
        <f t="shared" si="19"/>
        <v>4.13111111111111</v>
      </c>
      <c r="J78" s="27">
        <f t="shared" si="19"/>
        <v>3.38</v>
      </c>
      <c r="K78" s="27">
        <f t="shared" si="19"/>
        <v>6.6000000000000005</v>
      </c>
      <c r="L78" s="27">
        <f t="shared" si="19"/>
        <v>5.4</v>
      </c>
      <c r="M78" s="27">
        <f t="shared" si="19"/>
        <v>83.33111111111111</v>
      </c>
      <c r="N78" s="27">
        <f t="shared" si="19"/>
        <v>68.18</v>
      </c>
      <c r="O78" s="27">
        <f t="shared" si="19"/>
        <v>0.06</v>
      </c>
      <c r="P78" s="27">
        <f t="shared" si="19"/>
        <v>0.05</v>
      </c>
      <c r="Q78" s="27">
        <f t="shared" si="19"/>
        <v>0.31200000000000006</v>
      </c>
      <c r="R78" s="27">
        <f t="shared" si="19"/>
        <v>0.26</v>
      </c>
      <c r="S78" s="27">
        <f t="shared" si="19"/>
        <v>1.2222222222222223</v>
      </c>
      <c r="T78" s="27">
        <f t="shared" si="19"/>
        <v>1</v>
      </c>
      <c r="U78" s="27">
        <f>SUM(U77)</f>
        <v>235.31</v>
      </c>
      <c r="V78" s="27">
        <f>SUM(V77)</f>
        <v>196.09166666666667</v>
      </c>
      <c r="W78" s="27">
        <f>SUM(W77)</f>
        <v>0.19</v>
      </c>
      <c r="X78" s="75">
        <f>SUM(X77)</f>
        <v>0.15833333333333333</v>
      </c>
      <c r="Y78" s="72"/>
      <c r="Z78" s="72"/>
      <c r="AA78" s="72"/>
      <c r="AB78" s="72"/>
      <c r="AC78" s="72"/>
      <c r="AD78" s="72"/>
      <c r="AE78" s="72"/>
      <c r="AF78" s="21"/>
    </row>
    <row r="79" spans="1:32" ht="15" customHeight="1">
      <c r="A79" s="15"/>
      <c r="B79" s="87" t="s">
        <v>27</v>
      </c>
      <c r="C79" s="17"/>
      <c r="D79" s="17"/>
      <c r="E79" s="32"/>
      <c r="F79" s="18"/>
      <c r="G79" s="18"/>
      <c r="H79" s="19"/>
      <c r="I79" s="19"/>
      <c r="J79" s="19"/>
      <c r="K79" s="19"/>
      <c r="L79" s="19"/>
      <c r="M79" s="19"/>
      <c r="N79" s="19"/>
      <c r="O79" s="28"/>
      <c r="P79" s="28"/>
      <c r="Q79" s="28"/>
      <c r="R79" s="28"/>
      <c r="S79" s="28"/>
      <c r="T79" s="28"/>
      <c r="U79" s="28"/>
      <c r="V79" s="28"/>
      <c r="W79" s="28"/>
      <c r="X79" s="76"/>
      <c r="Y79" s="21"/>
      <c r="Z79" s="36"/>
      <c r="AA79" s="36"/>
      <c r="AB79" s="36"/>
      <c r="AC79" s="21"/>
      <c r="AD79" s="21"/>
      <c r="AE79" s="21"/>
      <c r="AF79" s="21"/>
    </row>
    <row r="80" spans="1:28" ht="15.75" customHeight="1">
      <c r="A80" s="127" t="s">
        <v>142</v>
      </c>
      <c r="B80" s="57" t="s">
        <v>143</v>
      </c>
      <c r="C80" s="58" t="s">
        <v>144</v>
      </c>
      <c r="D80" s="58" t="s">
        <v>145</v>
      </c>
      <c r="E80" s="59">
        <v>2.43</v>
      </c>
      <c r="F80" s="59">
        <v>1.82</v>
      </c>
      <c r="G80" s="59">
        <v>0.9</v>
      </c>
      <c r="H80" s="60">
        <v>0.67</v>
      </c>
      <c r="I80" s="60">
        <v>2.4</v>
      </c>
      <c r="J80" s="60">
        <v>1.8</v>
      </c>
      <c r="K80" s="60">
        <v>4.8</v>
      </c>
      <c r="L80" s="60">
        <v>3.6</v>
      </c>
      <c r="M80" s="60">
        <v>44.4</v>
      </c>
      <c r="N80" s="60">
        <v>33.28</v>
      </c>
      <c r="O80" s="61">
        <v>0.04</v>
      </c>
      <c r="P80" s="67">
        <v>0.03</v>
      </c>
      <c r="Q80" s="61">
        <v>0.02</v>
      </c>
      <c r="R80" s="67">
        <v>0.02</v>
      </c>
      <c r="S80" s="61">
        <v>5.88</v>
      </c>
      <c r="T80" s="67">
        <v>4.41</v>
      </c>
      <c r="U80" s="60">
        <v>6.13</v>
      </c>
      <c r="V80" s="60">
        <f>U80*45/60</f>
        <v>4.5975</v>
      </c>
      <c r="W80" s="60">
        <v>1.04</v>
      </c>
      <c r="X80" s="60">
        <f>W80*45/60</f>
        <v>0.78</v>
      </c>
      <c r="Z80" s="36"/>
      <c r="AA80" s="36"/>
      <c r="AB80" s="36"/>
    </row>
    <row r="81" spans="1:24" s="30" customFormat="1" ht="27" customHeight="1">
      <c r="A81" s="15" t="s">
        <v>146</v>
      </c>
      <c r="B81" s="22" t="s">
        <v>147</v>
      </c>
      <c r="C81" s="17" t="s">
        <v>76</v>
      </c>
      <c r="D81" s="17" t="s">
        <v>77</v>
      </c>
      <c r="E81" s="128">
        <v>13.99</v>
      </c>
      <c r="F81" s="18">
        <v>12.98</v>
      </c>
      <c r="G81" s="24">
        <v>6.72</v>
      </c>
      <c r="H81" s="24">
        <v>4.61</v>
      </c>
      <c r="I81" s="24">
        <v>8.51</v>
      </c>
      <c r="J81" s="24">
        <v>4.77</v>
      </c>
      <c r="K81" s="24">
        <v>20.31</v>
      </c>
      <c r="L81" s="24">
        <v>17.89</v>
      </c>
      <c r="M81" s="24">
        <v>140.12</v>
      </c>
      <c r="N81" s="24">
        <v>115.5</v>
      </c>
      <c r="O81" s="26">
        <v>0.14</v>
      </c>
      <c r="P81" s="129">
        <v>0.11</v>
      </c>
      <c r="Q81" s="26">
        <v>0.11</v>
      </c>
      <c r="R81" s="129">
        <v>0.11</v>
      </c>
      <c r="S81" s="26">
        <v>10.78</v>
      </c>
      <c r="T81" s="129">
        <v>10.78</v>
      </c>
      <c r="U81" s="26">
        <v>18.09</v>
      </c>
      <c r="V81" s="129">
        <v>18.09</v>
      </c>
      <c r="W81" s="26">
        <v>1.07</v>
      </c>
      <c r="X81" s="129">
        <v>1.07</v>
      </c>
    </row>
    <row r="82" spans="1:31" s="30" customFormat="1" ht="15" customHeight="1">
      <c r="A82" s="118" t="s">
        <v>87</v>
      </c>
      <c r="B82" s="131" t="s">
        <v>88</v>
      </c>
      <c r="C82" s="105" t="s">
        <v>85</v>
      </c>
      <c r="D82" s="105" t="s">
        <v>85</v>
      </c>
      <c r="E82" s="32">
        <v>34.76</v>
      </c>
      <c r="F82" s="32">
        <v>34.76</v>
      </c>
      <c r="G82" s="61">
        <v>13.9</v>
      </c>
      <c r="H82" s="61">
        <v>13.9</v>
      </c>
      <c r="I82" s="61">
        <v>6.5</v>
      </c>
      <c r="J82" s="61">
        <v>6.5</v>
      </c>
      <c r="K82" s="61">
        <v>4</v>
      </c>
      <c r="L82" s="61">
        <v>4</v>
      </c>
      <c r="M82" s="61">
        <v>132</v>
      </c>
      <c r="N82" s="102">
        <v>132</v>
      </c>
      <c r="O82" s="60">
        <v>0.06</v>
      </c>
      <c r="P82" s="60">
        <v>0</v>
      </c>
      <c r="Q82" s="60">
        <v>0.12</v>
      </c>
      <c r="R82" s="60">
        <v>0</v>
      </c>
      <c r="S82" s="60">
        <v>0.06</v>
      </c>
      <c r="T82" s="60">
        <v>0.06</v>
      </c>
      <c r="U82" s="60">
        <v>14.33</v>
      </c>
      <c r="V82" s="60">
        <v>0</v>
      </c>
      <c r="W82" s="81">
        <v>2.25</v>
      </c>
      <c r="X82" s="60">
        <v>0</v>
      </c>
      <c r="Y82" s="35"/>
      <c r="Z82" s="101"/>
      <c r="AA82" s="101"/>
      <c r="AB82" s="101"/>
      <c r="AC82" s="101"/>
      <c r="AD82" s="29"/>
      <c r="AE82" s="29"/>
    </row>
    <row r="83" spans="1:31" ht="15.75" customHeight="1">
      <c r="A83" s="119" t="s">
        <v>18</v>
      </c>
      <c r="B83" s="16" t="s">
        <v>95</v>
      </c>
      <c r="C83" s="17" t="s">
        <v>58</v>
      </c>
      <c r="D83" s="17" t="s">
        <v>82</v>
      </c>
      <c r="E83" s="18">
        <v>3.03</v>
      </c>
      <c r="F83" s="18">
        <v>2.33</v>
      </c>
      <c r="G83" s="19">
        <v>3.9</v>
      </c>
      <c r="H83" s="19">
        <f>G83*100/130</f>
        <v>3</v>
      </c>
      <c r="I83" s="19">
        <v>5.85</v>
      </c>
      <c r="J83" s="19">
        <f>I83*100/130</f>
        <v>4.5</v>
      </c>
      <c r="K83" s="19">
        <v>19.37</v>
      </c>
      <c r="L83" s="19">
        <f>K83*100/130</f>
        <v>14.9</v>
      </c>
      <c r="M83" s="19">
        <v>145.73</v>
      </c>
      <c r="N83" s="19">
        <f>M83*100/130</f>
        <v>112.09999999999998</v>
      </c>
      <c r="O83" s="19">
        <f>P83*130/100</f>
        <v>0.039</v>
      </c>
      <c r="P83" s="19">
        <v>0.03</v>
      </c>
      <c r="Q83" s="19">
        <f>R83*130/100</f>
        <v>0.013000000000000001</v>
      </c>
      <c r="R83" s="19">
        <v>0.01</v>
      </c>
      <c r="S83" s="19">
        <f>T83*130/100</f>
        <v>0</v>
      </c>
      <c r="T83" s="19">
        <v>0</v>
      </c>
      <c r="U83" s="19">
        <f>V83*130/100</f>
        <v>11.973000000000003</v>
      </c>
      <c r="V83" s="19">
        <v>9.21</v>
      </c>
      <c r="W83" s="19">
        <f>X83*130/100</f>
        <v>0.9620000000000001</v>
      </c>
      <c r="X83" s="19">
        <v>0.74</v>
      </c>
      <c r="Y83" s="106"/>
      <c r="Z83" s="107"/>
      <c r="AA83" s="107"/>
      <c r="AB83" s="107"/>
      <c r="AC83" s="21"/>
      <c r="AD83" s="21"/>
      <c r="AE83" s="21"/>
    </row>
    <row r="84" spans="1:31" ht="15.75" customHeight="1">
      <c r="A84" s="119" t="s">
        <v>113</v>
      </c>
      <c r="B84" s="16" t="s">
        <v>114</v>
      </c>
      <c r="C84" s="17" t="s">
        <v>21</v>
      </c>
      <c r="D84" s="17" t="s">
        <v>22</v>
      </c>
      <c r="E84" s="18">
        <v>2.91</v>
      </c>
      <c r="F84" s="18">
        <v>2.19</v>
      </c>
      <c r="G84" s="24">
        <v>0.4</v>
      </c>
      <c r="H84" s="25">
        <v>0.3</v>
      </c>
      <c r="I84" s="24">
        <f>J84*200/150</f>
        <v>0</v>
      </c>
      <c r="J84" s="25">
        <v>0</v>
      </c>
      <c r="K84" s="24">
        <v>27.4</v>
      </c>
      <c r="L84" s="25">
        <v>20.5</v>
      </c>
      <c r="M84" s="24">
        <v>111.2</v>
      </c>
      <c r="N84" s="25">
        <v>83.2</v>
      </c>
      <c r="O84" s="19">
        <v>0.02</v>
      </c>
      <c r="P84" s="19">
        <f>O84*150/200</f>
        <v>0.015</v>
      </c>
      <c r="Q84" s="19">
        <v>0.01</v>
      </c>
      <c r="R84" s="19">
        <f>Q84*150/200</f>
        <v>0.0075</v>
      </c>
      <c r="S84" s="19">
        <v>0</v>
      </c>
      <c r="T84" s="19">
        <v>0</v>
      </c>
      <c r="U84" s="28">
        <v>25.91</v>
      </c>
      <c r="V84" s="19">
        <f>U84*150/200</f>
        <v>19.4325</v>
      </c>
      <c r="W84" s="28">
        <v>0.65</v>
      </c>
      <c r="X84" s="74">
        <f>W84*150/200</f>
        <v>0.4875</v>
      </c>
      <c r="Y84" s="21"/>
      <c r="Z84" s="21"/>
      <c r="AA84" s="21"/>
      <c r="AB84" s="21"/>
      <c r="AC84" s="21"/>
      <c r="AD84" s="21"/>
      <c r="AE84" s="21"/>
    </row>
    <row r="85" spans="1:31" s="66" customFormat="1" ht="15" customHeight="1">
      <c r="A85" s="118"/>
      <c r="B85" s="57" t="s">
        <v>30</v>
      </c>
      <c r="C85" s="58" t="s">
        <v>31</v>
      </c>
      <c r="D85" s="58" t="s">
        <v>31</v>
      </c>
      <c r="E85" s="59">
        <v>1.11</v>
      </c>
      <c r="F85" s="59">
        <v>1.11</v>
      </c>
      <c r="G85" s="59">
        <v>1.6</v>
      </c>
      <c r="H85" s="59">
        <v>1.6</v>
      </c>
      <c r="I85" s="59">
        <v>0.4</v>
      </c>
      <c r="J85" s="59">
        <v>0.4</v>
      </c>
      <c r="K85" s="59">
        <v>10</v>
      </c>
      <c r="L85" s="59">
        <v>10</v>
      </c>
      <c r="M85" s="60">
        <v>54</v>
      </c>
      <c r="N85" s="60">
        <v>54</v>
      </c>
      <c r="O85" s="63">
        <v>0.04</v>
      </c>
      <c r="P85" s="64">
        <v>0.04</v>
      </c>
      <c r="Q85" s="63">
        <v>0.02</v>
      </c>
      <c r="R85" s="64">
        <v>0.02</v>
      </c>
      <c r="S85" s="63">
        <v>0</v>
      </c>
      <c r="T85" s="64">
        <v>0</v>
      </c>
      <c r="U85" s="63">
        <v>7.4</v>
      </c>
      <c r="V85" s="64">
        <v>7.4</v>
      </c>
      <c r="W85" s="63">
        <v>0.56</v>
      </c>
      <c r="X85" s="64">
        <v>0.56</v>
      </c>
      <c r="Y85" s="65"/>
      <c r="Z85" s="65"/>
      <c r="AA85" s="65"/>
      <c r="AB85" s="65"/>
      <c r="AC85" s="65"/>
      <c r="AD85" s="65"/>
      <c r="AE85" s="65"/>
    </row>
    <row r="86" spans="1:31" ht="15" customHeight="1">
      <c r="A86" s="118"/>
      <c r="B86" s="57" t="s">
        <v>32</v>
      </c>
      <c r="C86" s="58" t="s">
        <v>78</v>
      </c>
      <c r="D86" s="58" t="s">
        <v>79</v>
      </c>
      <c r="E86" s="59">
        <v>2.09</v>
      </c>
      <c r="F86" s="59">
        <v>1.83</v>
      </c>
      <c r="G86" s="59">
        <v>3.25</v>
      </c>
      <c r="H86" s="60">
        <v>2.84</v>
      </c>
      <c r="I86" s="60">
        <v>0.46</v>
      </c>
      <c r="J86" s="60">
        <f>I86*40.6/46</f>
        <v>0.406</v>
      </c>
      <c r="K86" s="60">
        <v>20.88</v>
      </c>
      <c r="L86" s="60">
        <v>18.27</v>
      </c>
      <c r="M86" s="60">
        <v>102.08</v>
      </c>
      <c r="N86" s="60">
        <v>89.32</v>
      </c>
      <c r="O86" s="61">
        <v>0.06</v>
      </c>
      <c r="P86" s="67">
        <v>0.04</v>
      </c>
      <c r="Q86" s="61">
        <v>0.04</v>
      </c>
      <c r="R86" s="67">
        <v>0.03</v>
      </c>
      <c r="S86" s="61">
        <v>0</v>
      </c>
      <c r="T86" s="60">
        <f>S86*40.6/46</f>
        <v>0</v>
      </c>
      <c r="U86" s="63">
        <v>17</v>
      </c>
      <c r="V86" s="64">
        <v>13.6</v>
      </c>
      <c r="W86" s="63">
        <v>1.15</v>
      </c>
      <c r="X86" s="64">
        <v>0.92</v>
      </c>
      <c r="Y86" s="21"/>
      <c r="Z86" s="21"/>
      <c r="AA86" s="21"/>
      <c r="AB86" s="21"/>
      <c r="AC86" s="21"/>
      <c r="AD86" s="21"/>
      <c r="AE86" s="21"/>
    </row>
    <row r="87" spans="1:32" ht="15" customHeight="1">
      <c r="A87" s="15"/>
      <c r="B87" s="16" t="s">
        <v>23</v>
      </c>
      <c r="C87" s="17"/>
      <c r="D87" s="17"/>
      <c r="E87" s="27">
        <f>SUM(E80:E86)</f>
        <v>60.32000000000001</v>
      </c>
      <c r="F87" s="27">
        <f>SUM(F80:F86)</f>
        <v>57.019999999999996</v>
      </c>
      <c r="G87" s="27">
        <f>SUM(G80:G86)-6</f>
        <v>24.669999999999998</v>
      </c>
      <c r="H87" s="27">
        <f>SUM(H80:H86)-6</f>
        <v>20.92</v>
      </c>
      <c r="I87" s="27">
        <f aca="true" t="shared" si="20" ref="I87:T87">SUM(I80:I86)</f>
        <v>24.119999999999997</v>
      </c>
      <c r="J87" s="27">
        <f t="shared" si="20"/>
        <v>18.375999999999998</v>
      </c>
      <c r="K87" s="27">
        <f>SUM(K80:K86)+2</f>
        <v>108.75999999999999</v>
      </c>
      <c r="L87" s="27">
        <f>SUM(L80:L86)+0</f>
        <v>89.16</v>
      </c>
      <c r="M87" s="27">
        <f>SUM(M80:M86)-0</f>
        <v>729.5300000000001</v>
      </c>
      <c r="N87" s="27">
        <f>SUM(N80:N86)-18</f>
        <v>601.3999999999999</v>
      </c>
      <c r="O87" s="27">
        <f t="shared" si="20"/>
        <v>0.399</v>
      </c>
      <c r="P87" s="27">
        <f t="shared" si="20"/>
        <v>0.265</v>
      </c>
      <c r="Q87" s="27">
        <f t="shared" si="20"/>
        <v>0.333</v>
      </c>
      <c r="R87" s="27">
        <f t="shared" si="20"/>
        <v>0.1975</v>
      </c>
      <c r="S87" s="27">
        <f t="shared" si="20"/>
        <v>16.72</v>
      </c>
      <c r="T87" s="27">
        <f t="shared" si="20"/>
        <v>15.25</v>
      </c>
      <c r="U87" s="27">
        <f>SUM(U80:U86)</f>
        <v>100.833</v>
      </c>
      <c r="V87" s="27">
        <f>SUM(V80:V86)</f>
        <v>72.33</v>
      </c>
      <c r="W87" s="27">
        <f>SUM(W80:W86)</f>
        <v>7.682</v>
      </c>
      <c r="X87" s="75">
        <f>SUM(X80:X86)</f>
        <v>4.5575</v>
      </c>
      <c r="Y87" s="72"/>
      <c r="Z87" s="72"/>
      <c r="AA87" s="72"/>
      <c r="AB87" s="72"/>
      <c r="AC87" s="72"/>
      <c r="AD87" s="21"/>
      <c r="AE87" s="21"/>
      <c r="AF87" s="21"/>
    </row>
    <row r="88" spans="1:32" ht="15" customHeight="1">
      <c r="A88" s="15"/>
      <c r="B88" s="87" t="s">
        <v>42</v>
      </c>
      <c r="C88" s="17"/>
      <c r="D88" s="17"/>
      <c r="E88" s="18"/>
      <c r="F88" s="18"/>
      <c r="G88" s="18"/>
      <c r="H88" s="19"/>
      <c r="I88" s="19"/>
      <c r="J88" s="19"/>
      <c r="K88" s="19"/>
      <c r="L88" s="19"/>
      <c r="M88" s="19"/>
      <c r="N88" s="19"/>
      <c r="O88" s="28"/>
      <c r="P88" s="28"/>
      <c r="Q88" s="28"/>
      <c r="R88" s="28"/>
      <c r="S88" s="28"/>
      <c r="T88" s="28"/>
      <c r="U88" s="28"/>
      <c r="V88" s="28"/>
      <c r="W88" s="28"/>
      <c r="X88" s="76"/>
      <c r="Y88" s="21"/>
      <c r="Z88" s="36"/>
      <c r="AA88" s="36"/>
      <c r="AB88" s="36"/>
      <c r="AC88" s="21"/>
      <c r="AD88" s="21"/>
      <c r="AE88" s="21"/>
      <c r="AF88" s="21"/>
    </row>
    <row r="89" spans="1:31" ht="15" customHeight="1">
      <c r="A89" s="118" t="s">
        <v>34</v>
      </c>
      <c r="B89" s="57" t="s">
        <v>35</v>
      </c>
      <c r="C89" s="58" t="s">
        <v>26</v>
      </c>
      <c r="D89" s="58" t="s">
        <v>26</v>
      </c>
      <c r="E89" s="59">
        <v>10.36</v>
      </c>
      <c r="F89" s="59">
        <v>10.36</v>
      </c>
      <c r="G89" s="59">
        <v>5.31</v>
      </c>
      <c r="H89" s="60">
        <v>5.31</v>
      </c>
      <c r="I89" s="59">
        <v>4.5</v>
      </c>
      <c r="J89" s="60">
        <v>4.5</v>
      </c>
      <c r="K89" s="59">
        <v>8.91</v>
      </c>
      <c r="L89" s="60">
        <v>8.91</v>
      </c>
      <c r="M89" s="59">
        <v>97.38</v>
      </c>
      <c r="N89" s="60">
        <v>97.38</v>
      </c>
      <c r="O89" s="59">
        <v>0.07</v>
      </c>
      <c r="P89" s="60">
        <v>0.07</v>
      </c>
      <c r="Q89" s="59">
        <v>0.3</v>
      </c>
      <c r="R89" s="60">
        <v>0.3</v>
      </c>
      <c r="S89" s="59">
        <v>2.46</v>
      </c>
      <c r="T89" s="60">
        <v>2.46</v>
      </c>
      <c r="U89" s="59">
        <v>275.74</v>
      </c>
      <c r="V89" s="60">
        <v>275.74</v>
      </c>
      <c r="W89" s="59">
        <v>0.23</v>
      </c>
      <c r="X89" s="60">
        <v>0.23</v>
      </c>
      <c r="Y89" s="36"/>
      <c r="Z89" s="36"/>
      <c r="AA89" s="36"/>
      <c r="AB89" s="36"/>
      <c r="AC89" s="36"/>
      <c r="AD89" s="36"/>
      <c r="AE89" s="21"/>
    </row>
    <row r="90" spans="1:31" ht="12.75">
      <c r="A90" s="122" t="s">
        <v>96</v>
      </c>
      <c r="B90" s="40" t="s">
        <v>98</v>
      </c>
      <c r="C90" s="58" t="s">
        <v>99</v>
      </c>
      <c r="D90" s="58" t="s">
        <v>99</v>
      </c>
      <c r="E90" s="59">
        <v>0.96</v>
      </c>
      <c r="F90" s="59">
        <v>0.96</v>
      </c>
      <c r="G90" s="59">
        <v>2.24</v>
      </c>
      <c r="H90" s="60">
        <v>2.24</v>
      </c>
      <c r="I90" s="59">
        <v>3.93</v>
      </c>
      <c r="J90" s="60">
        <v>3.93</v>
      </c>
      <c r="K90" s="59">
        <v>18.27</v>
      </c>
      <c r="L90" s="60">
        <v>18.27</v>
      </c>
      <c r="M90" s="59">
        <v>117.63</v>
      </c>
      <c r="N90" s="60">
        <v>117.63</v>
      </c>
      <c r="O90" s="59"/>
      <c r="P90" s="60"/>
      <c r="Q90" s="59"/>
      <c r="R90" s="60"/>
      <c r="S90" s="59">
        <v>0</v>
      </c>
      <c r="T90" s="60">
        <v>0</v>
      </c>
      <c r="U90" s="109"/>
      <c r="V90" s="110"/>
      <c r="W90" s="109"/>
      <c r="X90" s="111"/>
      <c r="Y90" s="36"/>
      <c r="Z90" s="36"/>
      <c r="AA90" s="36"/>
      <c r="AB90" s="36"/>
      <c r="AC90" s="36"/>
      <c r="AD90" s="36"/>
      <c r="AE90" s="21"/>
    </row>
    <row r="91" spans="1:32" ht="15" customHeight="1">
      <c r="A91" s="15"/>
      <c r="B91" s="16" t="s">
        <v>23</v>
      </c>
      <c r="C91" s="70"/>
      <c r="D91" s="70"/>
      <c r="E91" s="112">
        <f>SUM(E89:E90)</f>
        <v>11.32</v>
      </c>
      <c r="F91" s="112">
        <f>SUM(F89:F90)</f>
        <v>11.32</v>
      </c>
      <c r="G91" s="112">
        <f aca="true" t="shared" si="21" ref="G91:T91">SUM(G89:G90)</f>
        <v>7.55</v>
      </c>
      <c r="H91" s="112">
        <f t="shared" si="21"/>
        <v>7.55</v>
      </c>
      <c r="I91" s="112">
        <f t="shared" si="21"/>
        <v>8.43</v>
      </c>
      <c r="J91" s="112">
        <f t="shared" si="21"/>
        <v>8.43</v>
      </c>
      <c r="K91" s="112">
        <f t="shared" si="21"/>
        <v>27.18</v>
      </c>
      <c r="L91" s="112">
        <f t="shared" si="21"/>
        <v>27.18</v>
      </c>
      <c r="M91" s="112">
        <f t="shared" si="21"/>
        <v>215.01</v>
      </c>
      <c r="N91" s="112">
        <f t="shared" si="21"/>
        <v>215.01</v>
      </c>
      <c r="O91" s="112">
        <f t="shared" si="21"/>
        <v>0.07</v>
      </c>
      <c r="P91" s="112">
        <f t="shared" si="21"/>
        <v>0.07</v>
      </c>
      <c r="Q91" s="112">
        <f t="shared" si="21"/>
        <v>0.3</v>
      </c>
      <c r="R91" s="112">
        <f t="shared" si="21"/>
        <v>0.3</v>
      </c>
      <c r="S91" s="112">
        <f t="shared" si="21"/>
        <v>2.46</v>
      </c>
      <c r="T91" s="112">
        <f t="shared" si="21"/>
        <v>2.46</v>
      </c>
      <c r="U91" s="112">
        <f aca="true" t="shared" si="22" ref="U91:AB91">SUM(U89:U90)</f>
        <v>275.74</v>
      </c>
      <c r="V91" s="112">
        <f t="shared" si="22"/>
        <v>275.74</v>
      </c>
      <c r="W91" s="112">
        <f t="shared" si="22"/>
        <v>0.23</v>
      </c>
      <c r="X91" s="112">
        <f t="shared" si="22"/>
        <v>0.23</v>
      </c>
      <c r="Y91" s="112">
        <f t="shared" si="22"/>
        <v>0</v>
      </c>
      <c r="Z91" s="112">
        <f t="shared" si="22"/>
        <v>0</v>
      </c>
      <c r="AA91" s="112">
        <f t="shared" si="22"/>
        <v>0</v>
      </c>
      <c r="AB91" s="112">
        <f t="shared" si="22"/>
        <v>0</v>
      </c>
      <c r="AC91" s="72"/>
      <c r="AD91" s="21"/>
      <c r="AE91" s="21"/>
      <c r="AF91" s="21"/>
    </row>
    <row r="92" spans="1:32" ht="15" customHeight="1">
      <c r="A92" s="15"/>
      <c r="B92" s="87" t="s">
        <v>36</v>
      </c>
      <c r="C92" s="17"/>
      <c r="D92" s="17"/>
      <c r="E92" s="18"/>
      <c r="F92" s="18"/>
      <c r="G92" s="1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8"/>
      <c r="U92" s="28"/>
      <c r="V92" s="28"/>
      <c r="W92" s="28"/>
      <c r="X92" s="76"/>
      <c r="Y92" s="21"/>
      <c r="Z92" s="36"/>
      <c r="AA92" s="36"/>
      <c r="AB92" s="36"/>
      <c r="AC92" s="21"/>
      <c r="AD92" s="21"/>
      <c r="AE92" s="21"/>
      <c r="AF92" s="21"/>
    </row>
    <row r="93" spans="1:33" ht="15" customHeight="1">
      <c r="A93" s="119"/>
      <c r="B93" s="16" t="s">
        <v>44</v>
      </c>
      <c r="C93" s="17" t="s">
        <v>150</v>
      </c>
      <c r="D93" s="17" t="s">
        <v>58</v>
      </c>
      <c r="E93" s="18">
        <v>11.34</v>
      </c>
      <c r="F93" s="18">
        <v>9.7</v>
      </c>
      <c r="G93" s="18">
        <v>0.6</v>
      </c>
      <c r="H93" s="19">
        <f>G93*130/152</f>
        <v>0.5131578947368421</v>
      </c>
      <c r="I93" s="18">
        <v>0</v>
      </c>
      <c r="J93" s="19">
        <v>0</v>
      </c>
      <c r="K93" s="18">
        <v>14.9</v>
      </c>
      <c r="L93" s="19">
        <f>K93*130/152</f>
        <v>12.743421052631579</v>
      </c>
      <c r="M93" s="18">
        <v>57.76</v>
      </c>
      <c r="N93" s="19">
        <f>M93*130/152</f>
        <v>49.4</v>
      </c>
      <c r="O93" s="18">
        <v>0.02</v>
      </c>
      <c r="P93" s="19">
        <v>0.02</v>
      </c>
      <c r="Q93" s="18">
        <f>R93*160/150</f>
        <v>0.05333333333333334</v>
      </c>
      <c r="R93" s="19">
        <v>0.05</v>
      </c>
      <c r="S93" s="18">
        <v>24.32</v>
      </c>
      <c r="T93" s="19">
        <f>S93*130/152</f>
        <v>20.8</v>
      </c>
      <c r="U93" s="18">
        <v>24</v>
      </c>
      <c r="V93" s="19">
        <v>24</v>
      </c>
      <c r="W93" s="18">
        <v>3.3</v>
      </c>
      <c r="X93" s="38">
        <v>3.3</v>
      </c>
      <c r="Y93" s="80"/>
      <c r="Z93" s="36"/>
      <c r="AA93" s="36"/>
      <c r="AB93" s="36"/>
      <c r="AC93" s="21"/>
      <c r="AD93" s="21"/>
      <c r="AE93" s="21"/>
      <c r="AF93" s="21"/>
      <c r="AG93" s="21"/>
    </row>
    <row r="94" spans="1:29" s="35" customFormat="1" ht="25.5" customHeight="1">
      <c r="A94" s="118" t="s">
        <v>105</v>
      </c>
      <c r="B94" s="57" t="s">
        <v>106</v>
      </c>
      <c r="C94" s="58" t="s">
        <v>89</v>
      </c>
      <c r="D94" s="58" t="s">
        <v>64</v>
      </c>
      <c r="E94" s="59">
        <v>10.86</v>
      </c>
      <c r="F94" s="59">
        <v>8.63</v>
      </c>
      <c r="G94" s="59">
        <v>6.12</v>
      </c>
      <c r="H94" s="60">
        <v>4.8</v>
      </c>
      <c r="I94" s="59">
        <v>16.41</v>
      </c>
      <c r="J94" s="60">
        <v>14</v>
      </c>
      <c r="K94" s="59">
        <v>27.9</v>
      </c>
      <c r="L94" s="60">
        <v>20.1</v>
      </c>
      <c r="M94" s="59">
        <v>283.77</v>
      </c>
      <c r="N94" s="60">
        <v>225.6</v>
      </c>
      <c r="O94" s="60">
        <v>0.2</v>
      </c>
      <c r="P94" s="60">
        <v>0.14</v>
      </c>
      <c r="Q94" s="60">
        <v>0.13</v>
      </c>
      <c r="R94" s="60">
        <v>0.1</v>
      </c>
      <c r="S94" s="59">
        <v>13.5</v>
      </c>
      <c r="T94" s="60">
        <v>11.2</v>
      </c>
      <c r="U94" s="60">
        <v>95.29</v>
      </c>
      <c r="V94" s="60">
        <v>73.98</v>
      </c>
      <c r="W94" s="60">
        <v>2.33</v>
      </c>
      <c r="X94" s="81">
        <v>1.57</v>
      </c>
      <c r="Y94" s="103"/>
      <c r="Z94" s="101"/>
      <c r="AA94" s="101"/>
      <c r="AB94" s="101"/>
      <c r="AC94" s="101"/>
    </row>
    <row r="95" spans="1:31" ht="15" customHeight="1">
      <c r="A95" s="119" t="s">
        <v>90</v>
      </c>
      <c r="B95" s="22" t="s">
        <v>91</v>
      </c>
      <c r="C95" s="17" t="s">
        <v>21</v>
      </c>
      <c r="D95" s="17" t="s">
        <v>22</v>
      </c>
      <c r="E95" s="18">
        <v>0.51</v>
      </c>
      <c r="F95" s="18">
        <v>0.38</v>
      </c>
      <c r="G95" s="18">
        <v>0.18</v>
      </c>
      <c r="H95" s="19">
        <v>0.13</v>
      </c>
      <c r="I95" s="18">
        <f>J95*200/150</f>
        <v>0</v>
      </c>
      <c r="J95" s="19">
        <v>0</v>
      </c>
      <c r="K95" s="18">
        <v>4.78</v>
      </c>
      <c r="L95" s="19">
        <v>3.58</v>
      </c>
      <c r="M95" s="18">
        <v>19.9</v>
      </c>
      <c r="N95" s="19">
        <v>14.92</v>
      </c>
      <c r="O95" s="18">
        <f>P95*200/150</f>
        <v>0.013333333333333334</v>
      </c>
      <c r="P95" s="28">
        <v>0.01</v>
      </c>
      <c r="Q95" s="18">
        <f>R95*200/150</f>
        <v>0.013333333333333334</v>
      </c>
      <c r="R95" s="28">
        <v>0.01</v>
      </c>
      <c r="S95" s="18">
        <v>0.04</v>
      </c>
      <c r="T95" s="28">
        <v>0.03</v>
      </c>
      <c r="U95" s="18">
        <f>V95*200/150</f>
        <v>5.053333333333334</v>
      </c>
      <c r="V95" s="28">
        <v>3.79</v>
      </c>
      <c r="W95" s="18">
        <f>X95*200/150</f>
        <v>0.84</v>
      </c>
      <c r="X95" s="76">
        <v>0.63</v>
      </c>
      <c r="Y95" s="21"/>
      <c r="Z95" s="21"/>
      <c r="AA95" s="21"/>
      <c r="AB95" s="21"/>
      <c r="AC95" s="21"/>
      <c r="AD95" s="21"/>
      <c r="AE95" s="21"/>
    </row>
    <row r="96" spans="1:31" s="66" customFormat="1" ht="15" customHeight="1">
      <c r="A96" s="118"/>
      <c r="B96" s="57" t="s">
        <v>30</v>
      </c>
      <c r="C96" s="58" t="s">
        <v>31</v>
      </c>
      <c r="D96" s="58" t="s">
        <v>31</v>
      </c>
      <c r="E96" s="59">
        <v>1.11</v>
      </c>
      <c r="F96" s="59">
        <v>1.11</v>
      </c>
      <c r="G96" s="59">
        <v>1.6</v>
      </c>
      <c r="H96" s="59">
        <v>1.6</v>
      </c>
      <c r="I96" s="59">
        <v>0.4</v>
      </c>
      <c r="J96" s="59">
        <v>0.4</v>
      </c>
      <c r="K96" s="59">
        <v>10</v>
      </c>
      <c r="L96" s="59">
        <v>10</v>
      </c>
      <c r="M96" s="60">
        <v>54</v>
      </c>
      <c r="N96" s="60">
        <v>54</v>
      </c>
      <c r="O96" s="63">
        <v>0.04</v>
      </c>
      <c r="P96" s="64">
        <v>0.04</v>
      </c>
      <c r="Q96" s="63">
        <v>0.02</v>
      </c>
      <c r="R96" s="64">
        <v>0.02</v>
      </c>
      <c r="S96" s="63">
        <v>0</v>
      </c>
      <c r="T96" s="64">
        <v>0</v>
      </c>
      <c r="U96" s="63">
        <v>7.4</v>
      </c>
      <c r="V96" s="64">
        <v>7.4</v>
      </c>
      <c r="W96" s="63">
        <v>0.56</v>
      </c>
      <c r="X96" s="64">
        <v>0.56</v>
      </c>
      <c r="Y96" s="65"/>
      <c r="Z96" s="65"/>
      <c r="AA96" s="65"/>
      <c r="AB96" s="65"/>
      <c r="AC96" s="65"/>
      <c r="AD96" s="65"/>
      <c r="AE96" s="65"/>
    </row>
    <row r="97" spans="1:32" ht="15" customHeight="1">
      <c r="A97" s="15"/>
      <c r="B97" s="16" t="s">
        <v>23</v>
      </c>
      <c r="C97" s="17"/>
      <c r="D97" s="17"/>
      <c r="E97" s="27">
        <f>SUM(E93:E96)</f>
        <v>23.82</v>
      </c>
      <c r="F97" s="27">
        <f>SUM(F93:F96)</f>
        <v>19.819999999999997</v>
      </c>
      <c r="G97" s="27">
        <f aca="true" t="shared" si="23" ref="G97:T97">SUM(G93:G96)</f>
        <v>8.5</v>
      </c>
      <c r="H97" s="27">
        <f t="shared" si="23"/>
        <v>7.043157894736842</v>
      </c>
      <c r="I97" s="27">
        <f t="shared" si="23"/>
        <v>16.81</v>
      </c>
      <c r="J97" s="27">
        <f t="shared" si="23"/>
        <v>14.4</v>
      </c>
      <c r="K97" s="27">
        <f t="shared" si="23"/>
        <v>57.58</v>
      </c>
      <c r="L97" s="27">
        <f t="shared" si="23"/>
        <v>46.42342105263158</v>
      </c>
      <c r="M97" s="27">
        <f t="shared" si="23"/>
        <v>415.42999999999995</v>
      </c>
      <c r="N97" s="27">
        <f t="shared" si="23"/>
        <v>343.92</v>
      </c>
      <c r="O97" s="27">
        <f t="shared" si="23"/>
        <v>0.2733333333333333</v>
      </c>
      <c r="P97" s="27">
        <f t="shared" si="23"/>
        <v>0.21000000000000002</v>
      </c>
      <c r="Q97" s="27">
        <f t="shared" si="23"/>
        <v>0.21666666666666667</v>
      </c>
      <c r="R97" s="27">
        <f t="shared" si="23"/>
        <v>0.18000000000000002</v>
      </c>
      <c r="S97" s="27">
        <f t="shared" si="23"/>
        <v>37.86</v>
      </c>
      <c r="T97" s="27">
        <f t="shared" si="23"/>
        <v>32.03</v>
      </c>
      <c r="U97" s="27">
        <f aca="true" t="shared" si="24" ref="U97:AB97">SUM(U93:U96)</f>
        <v>131.74333333333334</v>
      </c>
      <c r="V97" s="27">
        <f t="shared" si="24"/>
        <v>109.17000000000002</v>
      </c>
      <c r="W97" s="27">
        <f t="shared" si="24"/>
        <v>7.029999999999999</v>
      </c>
      <c r="X97" s="27">
        <f t="shared" si="24"/>
        <v>6.0600000000000005</v>
      </c>
      <c r="Y97" s="27">
        <f t="shared" si="24"/>
        <v>0</v>
      </c>
      <c r="Z97" s="27">
        <f t="shared" si="24"/>
        <v>0</v>
      </c>
      <c r="AA97" s="27">
        <f t="shared" si="24"/>
        <v>0</v>
      </c>
      <c r="AB97" s="27">
        <f t="shared" si="24"/>
        <v>0</v>
      </c>
      <c r="AC97" s="72"/>
      <c r="AD97" s="21"/>
      <c r="AE97" s="21"/>
      <c r="AF97" s="21"/>
    </row>
    <row r="98" spans="1:32" ht="15" customHeight="1">
      <c r="A98" s="15"/>
      <c r="B98" s="16" t="s">
        <v>37</v>
      </c>
      <c r="C98" s="17"/>
      <c r="D98" s="18"/>
      <c r="E98" s="27">
        <f>E97+E91+E87+E78+E75</f>
        <v>131.97</v>
      </c>
      <c r="F98" s="27">
        <f>F97+F91+F87+F78+F75</f>
        <v>117.86</v>
      </c>
      <c r="G98" s="27">
        <f aca="true" t="shared" si="25" ref="G98:T98">G97+G91+G87+G78+G75</f>
        <v>53.35</v>
      </c>
      <c r="H98" s="27">
        <f t="shared" si="25"/>
        <v>46.05315789473684</v>
      </c>
      <c r="I98" s="27">
        <f t="shared" si="25"/>
        <v>66.43111111111111</v>
      </c>
      <c r="J98" s="27">
        <f t="shared" si="25"/>
        <v>55.786</v>
      </c>
      <c r="K98" s="27">
        <f t="shared" si="25"/>
        <v>254.43999999999997</v>
      </c>
      <c r="L98" s="27">
        <f t="shared" si="25"/>
        <v>213.5834210526316</v>
      </c>
      <c r="M98" s="27">
        <f t="shared" si="25"/>
        <v>1805.9811111111112</v>
      </c>
      <c r="N98" s="27">
        <f t="shared" si="25"/>
        <v>1536.95</v>
      </c>
      <c r="O98" s="27">
        <f t="shared" si="25"/>
        <v>1.0063333333333333</v>
      </c>
      <c r="P98" s="27">
        <f t="shared" si="25"/>
        <v>0.7400000000000001</v>
      </c>
      <c r="Q98" s="27">
        <f t="shared" si="25"/>
        <v>1.5716666666666665</v>
      </c>
      <c r="R98" s="27">
        <f t="shared" si="25"/>
        <v>1.245</v>
      </c>
      <c r="S98" s="27">
        <f t="shared" si="25"/>
        <v>59.69222222222222</v>
      </c>
      <c r="T98" s="27">
        <f t="shared" si="25"/>
        <v>51.940000000000005</v>
      </c>
      <c r="U98" s="27">
        <f>U97+U91+U87+U78+U75</f>
        <v>1042.0103333333334</v>
      </c>
      <c r="V98" s="27">
        <f>V97+V91+V87+V78+V75</f>
        <v>918.1516666666666</v>
      </c>
      <c r="W98" s="27">
        <f>W97+W91+W87+W78+W75</f>
        <v>17.201999999999998</v>
      </c>
      <c r="X98" s="75">
        <f>X97+X91+X87+X78+X75</f>
        <v>12.470833333333333</v>
      </c>
      <c r="Y98" s="72"/>
      <c r="Z98" s="72"/>
      <c r="AA98" s="72"/>
      <c r="AB98" s="72"/>
      <c r="AC98" s="72"/>
      <c r="AD98" s="72"/>
      <c r="AE98" s="72"/>
      <c r="AF98" s="21"/>
    </row>
    <row r="99" spans="25:29" ht="15" customHeight="1">
      <c r="Y99" s="20"/>
      <c r="Z99" s="36"/>
      <c r="AA99" s="36"/>
      <c r="AB99" s="36"/>
      <c r="AC99" s="21"/>
    </row>
    <row r="100" spans="2:29" ht="15" customHeight="1">
      <c r="B100" s="40"/>
      <c r="C100" s="41"/>
      <c r="D100" s="4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20"/>
      <c r="Z100" s="36"/>
      <c r="AA100" s="36"/>
      <c r="AB100" s="36"/>
      <c r="AC100" s="21"/>
    </row>
    <row r="101" spans="2:29" ht="15" customHeight="1">
      <c r="B101" s="40"/>
      <c r="C101" s="41"/>
      <c r="D101" s="4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20"/>
      <c r="Z101" s="36"/>
      <c r="AA101" s="36"/>
      <c r="AB101" s="36"/>
      <c r="AC101" s="21"/>
    </row>
    <row r="102" spans="2:29" ht="15" customHeight="1">
      <c r="B102" s="40"/>
      <c r="C102" s="41"/>
      <c r="D102" s="4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20"/>
      <c r="Z102" s="36"/>
      <c r="AA102" s="36"/>
      <c r="AB102" s="36"/>
      <c r="AC102" s="21"/>
    </row>
    <row r="103" spans="2:29" ht="15" customHeight="1">
      <c r="B103" s="40"/>
      <c r="C103" s="41"/>
      <c r="D103" s="4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20"/>
      <c r="Z103" s="36"/>
      <c r="AA103" s="36"/>
      <c r="AB103" s="36"/>
      <c r="AC103" s="21"/>
    </row>
    <row r="104" spans="1:29" s="66" customFormat="1" ht="24" customHeight="1">
      <c r="A104" s="1"/>
      <c r="B104" s="149"/>
      <c r="C104" s="149"/>
      <c r="D104" s="149"/>
      <c r="E104" s="135" t="s">
        <v>4</v>
      </c>
      <c r="F104" s="135"/>
      <c r="G104" s="135" t="s">
        <v>5</v>
      </c>
      <c r="H104" s="135"/>
      <c r="I104" s="135"/>
      <c r="J104" s="135"/>
      <c r="K104" s="135"/>
      <c r="L104" s="135"/>
      <c r="M104" s="141" t="s">
        <v>6</v>
      </c>
      <c r="N104" s="141"/>
      <c r="O104" s="144" t="s">
        <v>7</v>
      </c>
      <c r="P104" s="144"/>
      <c r="Q104" s="144"/>
      <c r="R104" s="144"/>
      <c r="S104" s="144"/>
      <c r="T104" s="144"/>
      <c r="U104" s="145" t="s">
        <v>8</v>
      </c>
      <c r="V104" s="145"/>
      <c r="W104" s="145"/>
      <c r="X104" s="145"/>
      <c r="Y104" s="89"/>
      <c r="Z104" s="94"/>
      <c r="AA104" s="94"/>
      <c r="AB104" s="94"/>
      <c r="AC104" s="65"/>
    </row>
    <row r="105" spans="1:29" s="66" customFormat="1" ht="15" customHeight="1">
      <c r="A105" s="1"/>
      <c r="B105" s="149"/>
      <c r="C105" s="149"/>
      <c r="D105" s="149"/>
      <c r="E105" s="135"/>
      <c r="F105" s="135"/>
      <c r="G105" s="135" t="s">
        <v>9</v>
      </c>
      <c r="H105" s="135"/>
      <c r="I105" s="135" t="s">
        <v>10</v>
      </c>
      <c r="J105" s="135"/>
      <c r="K105" s="135" t="s">
        <v>11</v>
      </c>
      <c r="L105" s="135"/>
      <c r="M105" s="141"/>
      <c r="N105" s="141"/>
      <c r="O105" s="143" t="s">
        <v>68</v>
      </c>
      <c r="P105" s="143"/>
      <c r="Q105" s="143" t="s">
        <v>54</v>
      </c>
      <c r="R105" s="143"/>
      <c r="S105" s="143" t="s">
        <v>12</v>
      </c>
      <c r="T105" s="143"/>
      <c r="U105" s="143" t="s">
        <v>13</v>
      </c>
      <c r="V105" s="143"/>
      <c r="W105" s="146" t="s">
        <v>14</v>
      </c>
      <c r="X105" s="146"/>
      <c r="Y105" s="89"/>
      <c r="Z105" s="94"/>
      <c r="AA105" s="94"/>
      <c r="AB105" s="94"/>
      <c r="AC105" s="65"/>
    </row>
    <row r="106" spans="1:29" s="66" customFormat="1" ht="15" customHeight="1">
      <c r="A106" s="1"/>
      <c r="B106" s="149"/>
      <c r="C106" s="149"/>
      <c r="D106" s="149"/>
      <c r="E106" s="90" t="s">
        <v>15</v>
      </c>
      <c r="F106" s="90" t="s">
        <v>16</v>
      </c>
      <c r="G106" s="90" t="s">
        <v>15</v>
      </c>
      <c r="H106" s="90" t="s">
        <v>16</v>
      </c>
      <c r="I106" s="90" t="s">
        <v>15</v>
      </c>
      <c r="J106" s="90" t="s">
        <v>16</v>
      </c>
      <c r="K106" s="90" t="s">
        <v>15</v>
      </c>
      <c r="L106" s="90" t="s">
        <v>16</v>
      </c>
      <c r="M106" s="90" t="s">
        <v>15</v>
      </c>
      <c r="N106" s="90" t="s">
        <v>16</v>
      </c>
      <c r="O106" s="90" t="s">
        <v>15</v>
      </c>
      <c r="P106" s="90" t="s">
        <v>16</v>
      </c>
      <c r="Q106" s="90" t="s">
        <v>15</v>
      </c>
      <c r="R106" s="90" t="s">
        <v>16</v>
      </c>
      <c r="S106" s="90" t="s">
        <v>15</v>
      </c>
      <c r="T106" s="90" t="s">
        <v>16</v>
      </c>
      <c r="U106" s="90" t="s">
        <v>15</v>
      </c>
      <c r="V106" s="90" t="s">
        <v>16</v>
      </c>
      <c r="W106" s="90" t="s">
        <v>15</v>
      </c>
      <c r="X106" s="91" t="s">
        <v>16</v>
      </c>
      <c r="Y106" s="89"/>
      <c r="Z106" s="94"/>
      <c r="AA106" s="94"/>
      <c r="AB106" s="94"/>
      <c r="AC106" s="65"/>
    </row>
    <row r="107" spans="1:29" s="66" customFormat="1" ht="15" customHeight="1">
      <c r="A107" s="1"/>
      <c r="B107" s="148" t="s">
        <v>51</v>
      </c>
      <c r="C107" s="148"/>
      <c r="D107" s="148"/>
      <c r="E107" s="19">
        <f>E98+E69+E40</f>
        <v>364.94000000000005</v>
      </c>
      <c r="F107" s="19">
        <f>F98+F69+F40</f>
        <v>322.36</v>
      </c>
      <c r="G107" s="19">
        <f>G98-11+G69+G40</f>
        <v>169.27800000000002</v>
      </c>
      <c r="H107" s="19">
        <f>H98-25+H69+H40</f>
        <v>132.10315789473685</v>
      </c>
      <c r="I107" s="19">
        <f aca="true" t="shared" si="26" ref="I107:R107">I98+I69+I40</f>
        <v>172.6011111111111</v>
      </c>
      <c r="J107" s="19">
        <f t="shared" si="26"/>
        <v>146.81799999999998</v>
      </c>
      <c r="K107" s="19">
        <f t="shared" si="26"/>
        <v>744.681</v>
      </c>
      <c r="L107" s="19">
        <f t="shared" si="26"/>
        <v>613.1234210526316</v>
      </c>
      <c r="M107" s="19">
        <f t="shared" si="26"/>
        <v>5254.920111111111</v>
      </c>
      <c r="N107" s="19">
        <f t="shared" si="26"/>
        <v>4409.26</v>
      </c>
      <c r="O107" s="19">
        <f t="shared" si="26"/>
        <v>2.7333333333333334</v>
      </c>
      <c r="P107" s="19">
        <f t="shared" si="26"/>
        <v>2.0326094665433243</v>
      </c>
      <c r="Q107" s="19">
        <f t="shared" si="26"/>
        <v>4.065333333333333</v>
      </c>
      <c r="R107" s="19">
        <f t="shared" si="26"/>
        <v>3.3483919210607462</v>
      </c>
      <c r="S107" s="19">
        <f>S98-7+S69+S40</f>
        <v>157.10922222222223</v>
      </c>
      <c r="T107" s="19">
        <f>T98-0+T69+T40</f>
        <v>141.7125</v>
      </c>
      <c r="U107" s="92" t="e">
        <f>#REF!+#REF!+U98+U69+U40</f>
        <v>#REF!</v>
      </c>
      <c r="V107" s="92" t="e">
        <f>#REF!+#REF!+V98+V69+V40</f>
        <v>#REF!</v>
      </c>
      <c r="W107" s="19" t="e">
        <f>#REF!+#REF!+W98+W69+W40</f>
        <v>#REF!</v>
      </c>
      <c r="X107" s="93" t="e">
        <f>#REF!+#REF!+X98+X69+X40</f>
        <v>#REF!</v>
      </c>
      <c r="Y107" s="89"/>
      <c r="Z107" s="94"/>
      <c r="AA107" s="94"/>
      <c r="AB107" s="94"/>
      <c r="AC107" s="65"/>
    </row>
    <row r="108" spans="1:29" s="66" customFormat="1" ht="15" customHeight="1">
      <c r="A108" s="1"/>
      <c r="B108" s="147" t="s">
        <v>52</v>
      </c>
      <c r="C108" s="147"/>
      <c r="D108" s="147"/>
      <c r="E108" s="19">
        <f>E107/3</f>
        <v>121.64666666666669</v>
      </c>
      <c r="F108" s="19">
        <f>F107/3</f>
        <v>107.45333333333333</v>
      </c>
      <c r="G108" s="19">
        <f>G107/3</f>
        <v>56.42600000000001</v>
      </c>
      <c r="H108" s="19">
        <f aca="true" t="shared" si="27" ref="H108:S108">H107/3</f>
        <v>44.03438596491228</v>
      </c>
      <c r="I108" s="19">
        <f t="shared" si="27"/>
        <v>57.5337037037037</v>
      </c>
      <c r="J108" s="19">
        <f t="shared" si="27"/>
        <v>48.93933333333333</v>
      </c>
      <c r="K108" s="19">
        <f t="shared" si="27"/>
        <v>248.227</v>
      </c>
      <c r="L108" s="19">
        <f t="shared" si="27"/>
        <v>204.37447368421053</v>
      </c>
      <c r="M108" s="19">
        <f t="shared" si="27"/>
        <v>1751.6400370370368</v>
      </c>
      <c r="N108" s="19">
        <f t="shared" si="27"/>
        <v>1469.7533333333333</v>
      </c>
      <c r="O108" s="130">
        <f t="shared" si="27"/>
        <v>0.9111111111111111</v>
      </c>
      <c r="P108" s="130">
        <f t="shared" si="27"/>
        <v>0.6775364888477747</v>
      </c>
      <c r="Q108" s="130">
        <f t="shared" si="27"/>
        <v>1.3551111111111112</v>
      </c>
      <c r="R108" s="130">
        <f t="shared" si="27"/>
        <v>1.116130640353582</v>
      </c>
      <c r="S108" s="19">
        <f t="shared" si="27"/>
        <v>52.369740740740745</v>
      </c>
      <c r="T108" s="19">
        <f>T107/3</f>
        <v>47.237500000000004</v>
      </c>
      <c r="U108" s="19" t="e">
        <f>U107/5</f>
        <v>#REF!</v>
      </c>
      <c r="V108" s="19" t="e">
        <f>V107/5</f>
        <v>#REF!</v>
      </c>
      <c r="W108" s="38" t="e">
        <f>W107/5</f>
        <v>#REF!</v>
      </c>
      <c r="X108" s="60" t="e">
        <f>X107/5</f>
        <v>#REF!</v>
      </c>
      <c r="Y108" s="65"/>
      <c r="Z108" s="94"/>
      <c r="AA108" s="94"/>
      <c r="AB108" s="94"/>
      <c r="AC108" s="65"/>
    </row>
    <row r="109" spans="1:29" s="66" customFormat="1" ht="15" customHeight="1">
      <c r="A109" s="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4"/>
      <c r="N109" s="45"/>
      <c r="X109" s="65"/>
      <c r="Y109" s="65"/>
      <c r="Z109" s="65"/>
      <c r="AA109" s="65"/>
      <c r="AB109" s="65"/>
      <c r="AC109" s="65"/>
    </row>
    <row r="110" spans="1:29" s="66" customFormat="1" ht="15" customHeight="1">
      <c r="A110" s="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X110" s="65"/>
      <c r="Y110" s="65"/>
      <c r="Z110" s="65"/>
      <c r="AA110" s="65"/>
      <c r="AB110" s="65"/>
      <c r="AC110" s="65"/>
    </row>
    <row r="111" spans="1:29" s="66" customFormat="1" ht="15" customHeight="1">
      <c r="A111" s="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X111" s="65"/>
      <c r="Y111" s="65"/>
      <c r="Z111" s="65"/>
      <c r="AA111" s="65"/>
      <c r="AB111" s="65"/>
      <c r="AC111" s="65"/>
    </row>
    <row r="112" spans="1:25" s="66" customFormat="1" ht="15" customHeight="1">
      <c r="A112" s="1"/>
      <c r="B112" s="46" t="s">
        <v>59</v>
      </c>
      <c r="C112" s="46"/>
      <c r="D112" s="46"/>
      <c r="E112" s="97"/>
      <c r="F112" s="97"/>
      <c r="G112" s="46"/>
      <c r="H112" s="46"/>
      <c r="I112" s="46"/>
      <c r="J112" s="46"/>
      <c r="K112" s="46"/>
      <c r="L112" s="46"/>
      <c r="X112" s="65"/>
      <c r="Y112" s="65"/>
    </row>
    <row r="113" spans="1:25" s="66" customFormat="1" ht="15" customHeight="1">
      <c r="A113" s="1"/>
      <c r="B113" s="46" t="s">
        <v>53</v>
      </c>
      <c r="C113" s="46"/>
      <c r="D113" s="46"/>
      <c r="E113" s="97"/>
      <c r="F113" s="97"/>
      <c r="G113" s="46"/>
      <c r="H113" s="46"/>
      <c r="I113" s="46"/>
      <c r="J113" s="46"/>
      <c r="K113" s="46"/>
      <c r="L113" s="46"/>
      <c r="X113" s="65"/>
      <c r="Y113" s="65"/>
    </row>
    <row r="114" spans="1:25" s="66" customFormat="1" ht="15" customHeight="1">
      <c r="A114" s="1"/>
      <c r="B114" s="46"/>
      <c r="C114" s="46"/>
      <c r="D114" s="46"/>
      <c r="E114" s="97"/>
      <c r="F114" s="97"/>
      <c r="G114" s="46"/>
      <c r="H114" s="46"/>
      <c r="I114" s="46"/>
      <c r="J114" s="46"/>
      <c r="K114" s="46"/>
      <c r="L114" s="46"/>
      <c r="X114" s="65"/>
      <c r="Y114" s="65"/>
    </row>
    <row r="115" spans="1:14" s="66" customFormat="1" ht="15" customHeight="1">
      <c r="A115" s="1"/>
      <c r="B115" s="52"/>
      <c r="C115" s="52"/>
      <c r="D115" s="52"/>
      <c r="E115" s="53"/>
      <c r="F115" s="54"/>
      <c r="G115" s="55"/>
      <c r="H115" s="55"/>
      <c r="I115" s="55"/>
      <c r="J115" s="55"/>
      <c r="K115" s="96"/>
      <c r="L115" s="96"/>
      <c r="M115" s="96"/>
      <c r="N115" s="96"/>
    </row>
    <row r="116" spans="1:14" s="66" customFormat="1" ht="15" customHeight="1">
      <c r="A116" s="1"/>
      <c r="B116" s="47" t="s">
        <v>55</v>
      </c>
      <c r="C116" s="98"/>
      <c r="D116" s="100"/>
      <c r="E116" s="100"/>
      <c r="F116" s="100"/>
      <c r="G116" s="56"/>
      <c r="H116" s="48"/>
      <c r="I116" s="48"/>
      <c r="J116" s="48" t="s">
        <v>56</v>
      </c>
      <c r="K116" s="48"/>
      <c r="L116" s="48"/>
      <c r="M116" s="45"/>
      <c r="N116" s="45"/>
    </row>
    <row r="117" spans="1:14" s="66" customFormat="1" ht="15" customHeight="1">
      <c r="A117" s="1"/>
      <c r="B117" s="47"/>
      <c r="C117" s="98"/>
      <c r="D117" s="100"/>
      <c r="E117" s="100"/>
      <c r="F117" s="100"/>
      <c r="G117" s="56"/>
      <c r="H117" s="48"/>
      <c r="I117" s="48"/>
      <c r="J117" s="48"/>
      <c r="K117" s="48"/>
      <c r="L117" s="48"/>
      <c r="M117" s="45"/>
      <c r="N117" s="45"/>
    </row>
    <row r="118" spans="1:29" s="66" customFormat="1" ht="15" customHeight="1">
      <c r="A118" s="1"/>
      <c r="B118" s="49" t="s">
        <v>116</v>
      </c>
      <c r="C118" s="99"/>
      <c r="D118" s="99"/>
      <c r="E118" s="99"/>
      <c r="F118" s="99"/>
      <c r="G118" s="49"/>
      <c r="H118" s="49"/>
      <c r="I118" s="49"/>
      <c r="J118" s="48" t="s">
        <v>57</v>
      </c>
      <c r="K118" s="48"/>
      <c r="L118" s="48"/>
      <c r="M118" s="45"/>
      <c r="N118" s="45"/>
      <c r="Y118" s="65"/>
      <c r="Z118" s="65"/>
      <c r="AA118" s="65"/>
      <c r="AB118" s="65"/>
      <c r="AC118" s="65"/>
    </row>
    <row r="119" spans="1:14" s="66" customFormat="1" ht="15" customHeight="1">
      <c r="A119" s="1"/>
      <c r="B119" s="47"/>
      <c r="C119" s="98"/>
      <c r="D119" s="98"/>
      <c r="E119" s="98"/>
      <c r="F119" s="98"/>
      <c r="G119" s="48"/>
      <c r="H119" s="48"/>
      <c r="I119" s="48"/>
      <c r="J119" s="48"/>
      <c r="K119" s="48"/>
      <c r="L119" s="48"/>
      <c r="M119" s="45"/>
      <c r="N119" s="45"/>
    </row>
    <row r="120" spans="1:14" s="66" customFormat="1" ht="15" customHeight="1">
      <c r="A120" s="1"/>
      <c r="B120" s="104" t="s">
        <v>81</v>
      </c>
      <c r="C120" s="47"/>
      <c r="D120" s="47"/>
      <c r="E120" s="48"/>
      <c r="F120" s="48"/>
      <c r="G120" s="47"/>
      <c r="H120" s="47"/>
      <c r="I120" s="47"/>
      <c r="J120" s="104" t="s">
        <v>152</v>
      </c>
      <c r="K120" s="47"/>
      <c r="L120" s="48"/>
      <c r="M120" s="95"/>
      <c r="N120" s="95"/>
    </row>
    <row r="121" spans="1:14" s="66" customFormat="1" ht="15" customHeight="1">
      <c r="A121" s="1"/>
      <c r="B121" s="47"/>
      <c r="C121" s="98"/>
      <c r="D121" s="98"/>
      <c r="E121" s="98"/>
      <c r="F121" s="98"/>
      <c r="G121" s="48"/>
      <c r="H121" s="48"/>
      <c r="I121" s="48"/>
      <c r="J121" s="48"/>
      <c r="K121" s="48"/>
      <c r="L121" s="48"/>
      <c r="M121" s="95"/>
      <c r="N121" s="95"/>
    </row>
    <row r="122" spans="1:14" s="66" customFormat="1" ht="15" customHeight="1">
      <c r="A122" s="1"/>
      <c r="B122" s="49" t="s">
        <v>117</v>
      </c>
      <c r="C122" s="99"/>
      <c r="D122" s="99"/>
      <c r="E122" s="99"/>
      <c r="F122" s="99"/>
      <c r="G122" s="49"/>
      <c r="H122" s="49"/>
      <c r="I122" s="49"/>
      <c r="J122" s="48" t="s">
        <v>118</v>
      </c>
      <c r="K122" s="48"/>
      <c r="L122" s="48"/>
      <c r="M122" s="95"/>
      <c r="N122" s="95"/>
    </row>
    <row r="123" spans="1:14" s="66" customFormat="1" ht="15" customHeight="1">
      <c r="A123" s="1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1:14" s="66" customFormat="1" ht="15" customHeight="1">
      <c r="A124" s="1"/>
      <c r="B124" s="50"/>
      <c r="C124" s="50"/>
      <c r="D124" s="50"/>
      <c r="E124" s="51"/>
      <c r="F124" s="51"/>
      <c r="G124" s="50"/>
      <c r="H124" s="50"/>
      <c r="I124" s="50"/>
      <c r="J124" s="50"/>
      <c r="K124" s="50"/>
      <c r="L124" s="50"/>
      <c r="M124" s="95"/>
      <c r="N124" s="95"/>
    </row>
    <row r="125" spans="1:14" s="66" customFormat="1" ht="15" customHeight="1">
      <c r="A125" s="1"/>
      <c r="B125" s="50"/>
      <c r="C125" s="50"/>
      <c r="D125" s="50"/>
      <c r="E125" s="51"/>
      <c r="F125" s="51"/>
      <c r="G125" s="50"/>
      <c r="H125" s="50"/>
      <c r="I125" s="50"/>
      <c r="J125" s="50"/>
      <c r="K125" s="50"/>
      <c r="L125" s="50"/>
      <c r="M125" s="95"/>
      <c r="N125" s="95"/>
    </row>
    <row r="126" spans="1:14" s="66" customFormat="1" ht="12.75">
      <c r="A126" s="1"/>
      <c r="B126" s="2"/>
      <c r="C126" s="2"/>
      <c r="D126" s="2"/>
      <c r="E126" s="3"/>
      <c r="F126" s="3"/>
      <c r="G126" s="2"/>
      <c r="H126" s="2"/>
      <c r="I126" s="2"/>
      <c r="J126" s="2"/>
      <c r="K126" s="2"/>
      <c r="L126" s="2"/>
      <c r="M126" s="2"/>
      <c r="N126" s="2"/>
    </row>
    <row r="127" spans="1:14" s="66" customFormat="1" ht="12.75">
      <c r="A127" s="1"/>
      <c r="B127" s="2"/>
      <c r="C127" s="2"/>
      <c r="D127" s="2"/>
      <c r="E127" s="3"/>
      <c r="F127" s="3"/>
      <c r="G127" s="2"/>
      <c r="H127" s="2"/>
      <c r="I127" s="2"/>
      <c r="J127" s="2"/>
      <c r="K127" s="2"/>
      <c r="L127" s="2"/>
      <c r="M127" s="2"/>
      <c r="N127" s="2"/>
    </row>
    <row r="128" spans="1:14" s="66" customFormat="1" ht="12.75">
      <c r="A128" s="1"/>
      <c r="B128" s="2"/>
      <c r="C128" s="2"/>
      <c r="D128" s="2"/>
      <c r="E128" s="3"/>
      <c r="F128" s="3"/>
      <c r="G128" s="2"/>
      <c r="H128" s="2"/>
      <c r="I128" s="2"/>
      <c r="J128" s="2"/>
      <c r="K128" s="2"/>
      <c r="L128" s="2"/>
      <c r="M128" s="2"/>
      <c r="N128" s="2"/>
    </row>
    <row r="129" spans="1:14" s="66" customFormat="1" ht="12.75">
      <c r="A129" s="1"/>
      <c r="B129" s="2"/>
      <c r="C129" s="2"/>
      <c r="D129" s="2"/>
      <c r="E129" s="3"/>
      <c r="F129" s="3"/>
      <c r="G129" s="2"/>
      <c r="H129" s="2"/>
      <c r="I129" s="2"/>
      <c r="J129" s="2"/>
      <c r="K129" s="2"/>
      <c r="L129" s="2"/>
      <c r="M129" s="2"/>
      <c r="N129" s="2"/>
    </row>
    <row r="130" spans="1:14" s="66" customFormat="1" ht="12.75">
      <c r="A130" s="1"/>
      <c r="B130" s="2"/>
      <c r="C130" s="2"/>
      <c r="D130" s="2"/>
      <c r="E130" s="3"/>
      <c r="F130" s="3"/>
      <c r="G130" s="2"/>
      <c r="H130" s="2"/>
      <c r="I130" s="2"/>
      <c r="J130" s="2"/>
      <c r="K130" s="2"/>
      <c r="L130" s="2"/>
      <c r="M130" s="2"/>
      <c r="N130" s="2"/>
    </row>
    <row r="131" spans="1:14" s="66" customFormat="1" ht="12.75">
      <c r="A131" s="1"/>
      <c r="B131" s="2"/>
      <c r="C131" s="2"/>
      <c r="D131" s="2"/>
      <c r="E131" s="3"/>
      <c r="F131" s="3"/>
      <c r="G131" s="2"/>
      <c r="H131" s="2"/>
      <c r="I131" s="2"/>
      <c r="J131" s="2"/>
      <c r="K131" s="2"/>
      <c r="L131" s="2"/>
      <c r="M131" s="2"/>
      <c r="N131" s="2"/>
    </row>
    <row r="132" spans="1:14" s="66" customFormat="1" ht="12.75">
      <c r="A132" s="1"/>
      <c r="B132" s="2"/>
      <c r="C132" s="2"/>
      <c r="D132" s="2"/>
      <c r="E132" s="3"/>
      <c r="F132" s="3"/>
      <c r="G132" s="2"/>
      <c r="H132" s="2"/>
      <c r="I132" s="2"/>
      <c r="J132" s="2"/>
      <c r="K132" s="2"/>
      <c r="L132" s="2"/>
      <c r="M132" s="2"/>
      <c r="N132" s="2"/>
    </row>
    <row r="133" spans="1:14" s="66" customFormat="1" ht="12.75">
      <c r="A133" s="1"/>
      <c r="B133" s="2"/>
      <c r="C133" s="2"/>
      <c r="D133" s="2"/>
      <c r="E133" s="3"/>
      <c r="F133" s="3"/>
      <c r="G133" s="2"/>
      <c r="H133" s="2"/>
      <c r="I133" s="2"/>
      <c r="J133" s="2"/>
      <c r="K133" s="2"/>
      <c r="L133" s="2"/>
      <c r="M133" s="2"/>
      <c r="N133" s="2"/>
    </row>
    <row r="134" spans="1:14" s="66" customFormat="1" ht="12.75">
      <c r="A134" s="1"/>
      <c r="B134" s="2"/>
      <c r="C134" s="2"/>
      <c r="D134" s="2"/>
      <c r="E134" s="3"/>
      <c r="F134" s="3"/>
      <c r="G134" s="2"/>
      <c r="H134" s="2"/>
      <c r="I134" s="2"/>
      <c r="J134" s="2"/>
      <c r="K134" s="2"/>
      <c r="L134" s="2"/>
      <c r="M134" s="2"/>
      <c r="N134" s="2"/>
    </row>
    <row r="135" spans="1:14" s="66" customFormat="1" ht="12.75">
      <c r="A135" s="1"/>
      <c r="B135" s="2"/>
      <c r="C135" s="2"/>
      <c r="D135" s="2"/>
      <c r="E135" s="3"/>
      <c r="F135" s="3"/>
      <c r="G135" s="2"/>
      <c r="H135" s="2"/>
      <c r="I135" s="2"/>
      <c r="J135" s="2"/>
      <c r="K135" s="2"/>
      <c r="L135" s="2"/>
      <c r="M135" s="2"/>
      <c r="N135" s="2"/>
    </row>
    <row r="136" spans="1:14" s="66" customFormat="1" ht="12.75">
      <c r="A136" s="1"/>
      <c r="B136" s="2"/>
      <c r="C136" s="2"/>
      <c r="D136" s="2"/>
      <c r="E136" s="3"/>
      <c r="F136" s="3"/>
      <c r="G136" s="2"/>
      <c r="H136" s="2"/>
      <c r="I136" s="2"/>
      <c r="J136" s="2"/>
      <c r="K136" s="2"/>
      <c r="L136" s="2"/>
      <c r="M136" s="2"/>
      <c r="N136" s="2"/>
    </row>
    <row r="137" spans="1:14" s="66" customFormat="1" ht="12.75">
      <c r="A137" s="1"/>
      <c r="B137" s="2"/>
      <c r="C137" s="2"/>
      <c r="D137" s="2"/>
      <c r="E137" s="3"/>
      <c r="F137" s="3"/>
      <c r="G137" s="2"/>
      <c r="H137" s="2"/>
      <c r="I137" s="2"/>
      <c r="J137" s="2"/>
      <c r="K137" s="2"/>
      <c r="L137" s="2"/>
      <c r="M137" s="2"/>
      <c r="N137" s="2"/>
    </row>
    <row r="138" spans="1:14" s="66" customFormat="1" ht="12.75">
      <c r="A138" s="1"/>
      <c r="B138" s="2"/>
      <c r="C138" s="2"/>
      <c r="D138" s="2"/>
      <c r="E138" s="3"/>
      <c r="F138" s="3"/>
      <c r="G138" s="2"/>
      <c r="H138" s="2"/>
      <c r="I138" s="2"/>
      <c r="J138" s="2"/>
      <c r="K138" s="2"/>
      <c r="L138" s="2"/>
      <c r="M138" s="2"/>
      <c r="N138" s="2"/>
    </row>
    <row r="139" spans="1:14" s="66" customFormat="1" ht="12.75">
      <c r="A139" s="1"/>
      <c r="B139" s="2"/>
      <c r="C139" s="2"/>
      <c r="D139" s="2"/>
      <c r="E139" s="3"/>
      <c r="F139" s="3"/>
      <c r="G139" s="2"/>
      <c r="H139" s="2"/>
      <c r="I139" s="2"/>
      <c r="J139" s="2"/>
      <c r="K139" s="2"/>
      <c r="L139" s="2"/>
      <c r="M139" s="2"/>
      <c r="N139" s="2"/>
    </row>
    <row r="140" spans="1:14" s="66" customFormat="1" ht="12.75">
      <c r="A140" s="1"/>
      <c r="B140" s="2"/>
      <c r="C140" s="2"/>
      <c r="D140" s="2"/>
      <c r="E140" s="3"/>
      <c r="F140" s="3"/>
      <c r="G140" s="2"/>
      <c r="H140" s="2"/>
      <c r="I140" s="2"/>
      <c r="J140" s="2"/>
      <c r="K140" s="2"/>
      <c r="L140" s="2"/>
      <c r="M140" s="2"/>
      <c r="N140" s="2"/>
    </row>
    <row r="141" spans="1:14" s="66" customFormat="1" ht="12.75">
      <c r="A141" s="1"/>
      <c r="B141" s="2"/>
      <c r="C141" s="2"/>
      <c r="D141" s="2"/>
      <c r="E141" s="3"/>
      <c r="F141" s="3"/>
      <c r="G141" s="2"/>
      <c r="H141" s="2"/>
      <c r="I141" s="2"/>
      <c r="J141" s="2"/>
      <c r="K141" s="2"/>
      <c r="L141" s="2"/>
      <c r="M141" s="2"/>
      <c r="N141" s="2"/>
    </row>
    <row r="142" spans="1:14" s="66" customFormat="1" ht="12.75">
      <c r="A142" s="1"/>
      <c r="B142" s="2"/>
      <c r="C142" s="2"/>
      <c r="D142" s="2"/>
      <c r="E142" s="3"/>
      <c r="F142" s="3"/>
      <c r="G142" s="2"/>
      <c r="H142" s="2"/>
      <c r="I142" s="2"/>
      <c r="J142" s="2"/>
      <c r="K142" s="2"/>
      <c r="L142" s="2"/>
      <c r="M142" s="2"/>
      <c r="N142" s="2"/>
    </row>
    <row r="143" spans="1:14" s="66" customFormat="1" ht="12.75">
      <c r="A143" s="1"/>
      <c r="B143" s="2"/>
      <c r="C143" s="2"/>
      <c r="D143" s="2"/>
      <c r="E143" s="3"/>
      <c r="F143" s="3"/>
      <c r="G143" s="2"/>
      <c r="H143" s="2"/>
      <c r="I143" s="2"/>
      <c r="J143" s="2"/>
      <c r="K143" s="2"/>
      <c r="L143" s="2"/>
      <c r="M143" s="2"/>
      <c r="N143" s="2"/>
    </row>
    <row r="144" spans="1:14" s="66" customFormat="1" ht="12.75">
      <c r="A144" s="1"/>
      <c r="B144" s="2"/>
      <c r="C144" s="2"/>
      <c r="D144" s="2"/>
      <c r="E144" s="3"/>
      <c r="F144" s="3"/>
      <c r="G144" s="2"/>
      <c r="H144" s="2"/>
      <c r="I144" s="2"/>
      <c r="J144" s="2"/>
      <c r="K144" s="2"/>
      <c r="L144" s="2"/>
      <c r="M144" s="2"/>
      <c r="N144" s="2"/>
    </row>
    <row r="145" spans="1:14" s="66" customFormat="1" ht="12.75">
      <c r="A145" s="1"/>
      <c r="B145" s="2"/>
      <c r="C145" s="2"/>
      <c r="D145" s="2"/>
      <c r="E145" s="3"/>
      <c r="F145" s="3"/>
      <c r="G145" s="2"/>
      <c r="H145" s="2"/>
      <c r="I145" s="2"/>
      <c r="J145" s="2"/>
      <c r="K145" s="2"/>
      <c r="L145" s="2"/>
      <c r="M145" s="2"/>
      <c r="N145" s="2"/>
    </row>
    <row r="146" spans="1:14" s="66" customFormat="1" ht="12.75">
      <c r="A146" s="1"/>
      <c r="B146" s="2"/>
      <c r="C146" s="2"/>
      <c r="D146" s="2"/>
      <c r="E146" s="3"/>
      <c r="F146" s="3"/>
      <c r="G146" s="2"/>
      <c r="H146" s="2"/>
      <c r="I146" s="2"/>
      <c r="J146" s="2"/>
      <c r="K146" s="2"/>
      <c r="L146" s="2"/>
      <c r="M146" s="2"/>
      <c r="N146" s="2"/>
    </row>
    <row r="147" spans="1:14" s="66" customFormat="1" ht="12.75">
      <c r="A147" s="1"/>
      <c r="B147" s="2"/>
      <c r="C147" s="2"/>
      <c r="D147" s="2"/>
      <c r="E147" s="3"/>
      <c r="F147" s="3"/>
      <c r="G147" s="2"/>
      <c r="H147" s="2"/>
      <c r="I147" s="2"/>
      <c r="J147" s="2"/>
      <c r="K147" s="2"/>
      <c r="L147" s="2"/>
      <c r="M147" s="2"/>
      <c r="N147" s="2"/>
    </row>
    <row r="148" spans="1:14" s="66" customFormat="1" ht="12.75">
      <c r="A148" s="1"/>
      <c r="B148" s="2"/>
      <c r="C148" s="2"/>
      <c r="D148" s="2"/>
      <c r="E148" s="3"/>
      <c r="F148" s="3"/>
      <c r="G148" s="2"/>
      <c r="H148" s="2"/>
      <c r="I148" s="2"/>
      <c r="J148" s="2"/>
      <c r="K148" s="2"/>
      <c r="L148" s="2"/>
      <c r="M148" s="2"/>
      <c r="N148" s="2"/>
    </row>
    <row r="149" spans="1:14" s="66" customFormat="1" ht="12.75">
      <c r="A149" s="1"/>
      <c r="B149" s="2"/>
      <c r="C149" s="2"/>
      <c r="D149" s="2"/>
      <c r="E149" s="3"/>
      <c r="F149" s="3"/>
      <c r="G149" s="2"/>
      <c r="H149" s="2"/>
      <c r="I149" s="2"/>
      <c r="J149" s="2"/>
      <c r="K149" s="2"/>
      <c r="L149" s="2"/>
      <c r="M149" s="2"/>
      <c r="N149" s="2"/>
    </row>
    <row r="150" spans="1:14" s="66" customFormat="1" ht="12.75">
      <c r="A150" s="1"/>
      <c r="B150" s="2"/>
      <c r="C150" s="2"/>
      <c r="D150" s="2"/>
      <c r="E150" s="3"/>
      <c r="F150" s="3"/>
      <c r="G150" s="2"/>
      <c r="H150" s="2"/>
      <c r="I150" s="2"/>
      <c r="J150" s="2"/>
      <c r="K150" s="2"/>
      <c r="L150" s="2"/>
      <c r="M150" s="2"/>
      <c r="N150" s="2"/>
    </row>
    <row r="151" spans="1:14" s="66" customFormat="1" ht="12.75">
      <c r="A151" s="1"/>
      <c r="B151" s="2"/>
      <c r="C151" s="2"/>
      <c r="D151" s="2"/>
      <c r="E151" s="3"/>
      <c r="F151" s="3"/>
      <c r="G151" s="2"/>
      <c r="H151" s="2"/>
      <c r="I151" s="2"/>
      <c r="J151" s="2"/>
      <c r="K151" s="2"/>
      <c r="L151" s="2"/>
      <c r="M151" s="2"/>
      <c r="N151" s="2"/>
    </row>
    <row r="152" spans="1:14" s="66" customFormat="1" ht="12.75">
      <c r="A152" s="1"/>
      <c r="B152" s="2"/>
      <c r="C152" s="2"/>
      <c r="D152" s="2"/>
      <c r="E152" s="3"/>
      <c r="F152" s="3"/>
      <c r="G152" s="2"/>
      <c r="H152" s="2"/>
      <c r="I152" s="2"/>
      <c r="J152" s="2"/>
      <c r="K152" s="2"/>
      <c r="L152" s="2"/>
      <c r="M152" s="2"/>
      <c r="N152" s="2"/>
    </row>
    <row r="153" spans="1:14" s="66" customFormat="1" ht="12.75">
      <c r="A153" s="1"/>
      <c r="B153" s="2"/>
      <c r="C153" s="2"/>
      <c r="D153" s="2"/>
      <c r="E153" s="3"/>
      <c r="F153" s="3"/>
      <c r="G153" s="2"/>
      <c r="H153" s="2"/>
      <c r="I153" s="2"/>
      <c r="J153" s="2"/>
      <c r="K153" s="2"/>
      <c r="L153" s="2"/>
      <c r="M153" s="2"/>
      <c r="N153" s="2"/>
    </row>
    <row r="154" spans="1:14" s="66" customFormat="1" ht="12.75">
      <c r="A154" s="1"/>
      <c r="B154" s="2"/>
      <c r="C154" s="2"/>
      <c r="D154" s="2"/>
      <c r="E154" s="3"/>
      <c r="F154" s="3"/>
      <c r="G154" s="2"/>
      <c r="H154" s="2"/>
      <c r="I154" s="2"/>
      <c r="J154" s="2"/>
      <c r="K154" s="2"/>
      <c r="L154" s="2"/>
      <c r="M154" s="2"/>
      <c r="N154" s="2"/>
    </row>
    <row r="155" spans="1:14" s="66" customFormat="1" ht="12.75">
      <c r="A155" s="1"/>
      <c r="B155" s="2"/>
      <c r="C155" s="2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</row>
    <row r="156" spans="1:14" s="66" customFormat="1" ht="12.75">
      <c r="A156" s="1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</row>
    <row r="157" spans="1:14" s="66" customFormat="1" ht="12.75">
      <c r="A157" s="1"/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</row>
    <row r="158" spans="1:14" s="66" customFormat="1" ht="12.75">
      <c r="A158" s="1"/>
      <c r="B158" s="2"/>
      <c r="C158" s="2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</row>
    <row r="159" spans="1:14" s="66" customFormat="1" ht="12.75">
      <c r="A159" s="1"/>
      <c r="B159" s="2"/>
      <c r="C159" s="2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</row>
    <row r="160" spans="1:14" s="66" customFormat="1" ht="12.75">
      <c r="A160" s="1"/>
      <c r="B160" s="2"/>
      <c r="C160" s="2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</row>
    <row r="161" spans="1:14" s="66" customFormat="1" ht="12.75">
      <c r="A161" s="1"/>
      <c r="B161" s="2"/>
      <c r="C161" s="2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</row>
    <row r="162" spans="1:14" s="66" customFormat="1" ht="12.75">
      <c r="A162" s="1"/>
      <c r="B162" s="2"/>
      <c r="C162" s="2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</row>
    <row r="163" spans="1:14" s="66" customFormat="1" ht="12.75">
      <c r="A163" s="1"/>
      <c r="B163" s="2"/>
      <c r="C163" s="2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</row>
    <row r="164" spans="1:14" s="66" customFormat="1" ht="12.75">
      <c r="A164" s="1"/>
      <c r="B164" s="2"/>
      <c r="C164" s="2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</row>
    <row r="165" spans="1:14" s="66" customFormat="1" ht="12.75">
      <c r="A165" s="1"/>
      <c r="B165" s="2"/>
      <c r="C165" s="2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</row>
    <row r="166" spans="1:14" s="66" customFormat="1" ht="12.75">
      <c r="A166" s="1"/>
      <c r="B166" s="2"/>
      <c r="C166" s="2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</row>
    <row r="167" spans="1:14" s="66" customFormat="1" ht="12.75">
      <c r="A167" s="1"/>
      <c r="B167" s="2"/>
      <c r="C167" s="2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</row>
    <row r="168" spans="1:14" s="66" customFormat="1" ht="12.75">
      <c r="A168" s="1"/>
      <c r="B168" s="2"/>
      <c r="C168" s="2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</row>
    <row r="169" spans="1:14" s="66" customFormat="1" ht="12.75">
      <c r="A169" s="1"/>
      <c r="B169" s="2"/>
      <c r="C169" s="2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</row>
    <row r="170" spans="1:14" s="66" customFormat="1" ht="12.75">
      <c r="A170" s="1"/>
      <c r="B170" s="2"/>
      <c r="C170" s="2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</row>
    <row r="171" spans="1:14" s="66" customFormat="1" ht="12.75">
      <c r="A171" s="1"/>
      <c r="B171" s="2"/>
      <c r="C171" s="2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</row>
    <row r="172" spans="1:14" s="66" customFormat="1" ht="12.75">
      <c r="A172" s="1"/>
      <c r="B172" s="2"/>
      <c r="C172" s="2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</row>
    <row r="173" spans="1:14" s="66" customFormat="1" ht="12.75">
      <c r="A173" s="1"/>
      <c r="B173" s="2"/>
      <c r="C173" s="2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</row>
    <row r="174" spans="1:14" s="66" customFormat="1" ht="12.75">
      <c r="A174" s="1"/>
      <c r="B174" s="2"/>
      <c r="C174" s="2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</row>
    <row r="175" spans="1:14" s="66" customFormat="1" ht="12.75">
      <c r="A175" s="1"/>
      <c r="B175" s="2"/>
      <c r="C175" s="2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</row>
    <row r="176" spans="1:14" s="66" customFormat="1" ht="12.75">
      <c r="A176" s="1"/>
      <c r="B176" s="2"/>
      <c r="C176" s="2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</row>
    <row r="177" spans="1:14" s="66" customFormat="1" ht="12.75">
      <c r="A177" s="1"/>
      <c r="B177" s="2"/>
      <c r="C177" s="2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</row>
    <row r="178" spans="1:14" s="66" customFormat="1" ht="12.75">
      <c r="A178" s="1"/>
      <c r="B178" s="2"/>
      <c r="C178" s="2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</row>
    <row r="179" spans="1:14" s="66" customFormat="1" ht="12.75">
      <c r="A179" s="1"/>
      <c r="B179" s="2"/>
      <c r="C179" s="2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</row>
    <row r="180" spans="1:14" s="66" customFormat="1" ht="12.75">
      <c r="A180" s="1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</row>
    <row r="181" spans="1:14" s="66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6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6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6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6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6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6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6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6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6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6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6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6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6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6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6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6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6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6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6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6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6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6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6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6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6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6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6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6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6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6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6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6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6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6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6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6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6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6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6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6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6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6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6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6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6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6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6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6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</sheetData>
  <sheetProtection/>
  <mergeCells count="34">
    <mergeCell ref="B108:D108"/>
    <mergeCell ref="B107:D107"/>
    <mergeCell ref="I105:J105"/>
    <mergeCell ref="K105:L105"/>
    <mergeCell ref="B104:D106"/>
    <mergeCell ref="E104:F105"/>
    <mergeCell ref="O105:P105"/>
    <mergeCell ref="O104:T104"/>
    <mergeCell ref="U104:X104"/>
    <mergeCell ref="G105:H105"/>
    <mergeCell ref="S105:T105"/>
    <mergeCell ref="U105:V105"/>
    <mergeCell ref="W105:X105"/>
    <mergeCell ref="Q105:R105"/>
    <mergeCell ref="G104:L104"/>
    <mergeCell ref="M104:N105"/>
    <mergeCell ref="B10:B11"/>
    <mergeCell ref="C10:D11"/>
    <mergeCell ref="E10:F11"/>
    <mergeCell ref="G10:L10"/>
    <mergeCell ref="M10:N11"/>
    <mergeCell ref="O10:T10"/>
    <mergeCell ref="I11:J11"/>
    <mergeCell ref="K11:L11"/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2017-08-22T10:07:13Z</cp:lastPrinted>
  <dcterms:created xsi:type="dcterms:W3CDTF">2018-03-06T13:05:07Z</dcterms:created>
  <dcterms:modified xsi:type="dcterms:W3CDTF">2018-03-06T13:05:08Z</dcterms:modified>
  <cp:category/>
  <cp:version/>
  <cp:contentType/>
  <cp:contentStatus/>
</cp:coreProperties>
</file>